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stafevakv\Downloads\"/>
    </mc:Choice>
  </mc:AlternateContent>
  <bookViews>
    <workbookView xWindow="-120" yWindow="-120" windowWidth="29040" windowHeight="15840"/>
  </bookViews>
  <sheets>
    <sheet name="Приложение №1" sheetId="1" r:id="rId1"/>
    <sheet name="Приложение №2" sheetId="10" r:id="rId2"/>
    <sheet name="Приложение №3" sheetId="13" r:id="rId3"/>
    <sheet name="Приложение №4" sheetId="14" r:id="rId4"/>
    <sheet name="Лист1" sheetId="1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'Приложение №1'!$A$12:$AS$795</definedName>
    <definedName name="_xlnm._FilterDatabase" localSheetId="1" hidden="1">'Приложение №2'!$A$21:$BR$803</definedName>
    <definedName name="_xlnm._FilterDatabase" localSheetId="2" hidden="1">'Приложение №3'!$A$16:$AW$455</definedName>
    <definedName name="_xlnm._FilterDatabase" localSheetId="3" hidden="1">'Приложение №4'!$A$12:$W$450</definedName>
    <definedName name="_xlnm.Print_Titles" localSheetId="0">'Приложение №1'!$9:$12</definedName>
    <definedName name="_xlnm.Print_Titles" localSheetId="1">'Приложение №2'!$18:$21</definedName>
    <definedName name="_xlnm.Print_Area" localSheetId="0">'Приложение №1'!$A$1:$BL$795</definedName>
    <definedName name="_xlnm.Print_Area" localSheetId="1">'Приложение №2'!$A$1:$T$804</definedName>
    <definedName name="_xlnm.Print_Area" localSheetId="2">'Приложение №3'!$A$1:$AA$429</definedName>
    <definedName name="_xlnm.Print_Area" localSheetId="3">'Приложение №4'!$A$1:$T$424</definedName>
    <definedName name="_xlnm.Print_Are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AY206" i="1" l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AX206" i="1"/>
  <c r="Q206" i="1"/>
  <c r="G215" i="10"/>
  <c r="H215" i="10"/>
  <c r="I215" i="10"/>
  <c r="J215" i="10"/>
  <c r="K215" i="10"/>
  <c r="L215" i="10"/>
  <c r="M215" i="10"/>
  <c r="N215" i="10"/>
  <c r="O215" i="10"/>
  <c r="P215" i="10"/>
  <c r="Q215" i="10"/>
  <c r="R215" i="10"/>
  <c r="F215" i="10"/>
  <c r="F486" i="10" l="1"/>
  <c r="F26" i="10"/>
  <c r="AW795" i="1"/>
  <c r="AW794" i="1"/>
  <c r="AW793" i="1"/>
  <c r="AW792" i="1"/>
  <c r="AW791" i="1"/>
  <c r="AW790" i="1"/>
  <c r="AW789" i="1"/>
  <c r="AW788" i="1"/>
  <c r="AW787" i="1"/>
  <c r="AW786" i="1"/>
  <c r="AW785" i="1"/>
  <c r="AW784" i="1"/>
  <c r="AW783" i="1"/>
  <c r="AW782" i="1"/>
  <c r="AW781" i="1"/>
  <c r="AW780" i="1"/>
  <c r="AW779" i="1"/>
  <c r="AW778" i="1"/>
  <c r="AW777" i="1"/>
  <c r="AW776" i="1"/>
  <c r="AW775" i="1"/>
  <c r="AW774" i="1"/>
  <c r="AW773" i="1"/>
  <c r="AW772" i="1"/>
  <c r="AW771" i="1"/>
  <c r="AW770" i="1"/>
  <c r="AW769" i="1"/>
  <c r="AW768" i="1"/>
  <c r="AW767" i="1"/>
  <c r="AW766" i="1"/>
  <c r="AW765" i="1"/>
  <c r="AW764" i="1"/>
  <c r="AW763" i="1"/>
  <c r="AW762" i="1"/>
  <c r="AW761" i="1"/>
  <c r="AW760" i="1"/>
  <c r="AW759" i="1"/>
  <c r="AW758" i="1"/>
  <c r="AW757" i="1"/>
  <c r="AW756" i="1"/>
  <c r="AW755" i="1"/>
  <c r="AW754" i="1"/>
  <c r="AW753" i="1"/>
  <c r="AW752" i="1"/>
  <c r="AW751" i="1"/>
  <c r="AW750" i="1"/>
  <c r="AW749" i="1"/>
  <c r="AW748" i="1"/>
  <c r="AW747" i="1"/>
  <c r="AW746" i="1"/>
  <c r="AW745" i="1"/>
  <c r="AW744" i="1"/>
  <c r="AW743" i="1"/>
  <c r="AW742" i="1"/>
  <c r="AW741" i="1"/>
  <c r="AW740" i="1"/>
  <c r="AW739" i="1"/>
  <c r="AW738" i="1"/>
  <c r="AW737" i="1"/>
  <c r="AW736" i="1"/>
  <c r="AW735" i="1"/>
  <c r="AW734" i="1"/>
  <c r="AW733" i="1"/>
  <c r="AW732" i="1"/>
  <c r="AW731" i="1"/>
  <c r="AW730" i="1"/>
  <c r="AW729" i="1"/>
  <c r="AW728" i="1"/>
  <c r="AW727" i="1"/>
  <c r="AW726" i="1"/>
  <c r="AW725" i="1"/>
  <c r="AW724" i="1"/>
  <c r="AW723" i="1"/>
  <c r="AW722" i="1"/>
  <c r="AW721" i="1"/>
  <c r="AW720" i="1"/>
  <c r="AW719" i="1"/>
  <c r="AW718" i="1"/>
  <c r="AW717" i="1"/>
  <c r="AW716" i="1"/>
  <c r="AW715" i="1"/>
  <c r="AW714" i="1"/>
  <c r="AW713" i="1"/>
  <c r="AW712" i="1"/>
  <c r="AW711" i="1"/>
  <c r="AW710" i="1"/>
  <c r="AW709" i="1"/>
  <c r="AW708" i="1"/>
  <c r="AW707" i="1"/>
  <c r="AW706" i="1"/>
  <c r="AW705" i="1"/>
  <c r="AW704" i="1"/>
  <c r="AW703" i="1"/>
  <c r="AW702" i="1"/>
  <c r="AW701" i="1"/>
  <c r="AW700" i="1"/>
  <c r="AW699" i="1"/>
  <c r="AW698" i="1"/>
  <c r="AW697" i="1"/>
  <c r="AW696" i="1"/>
  <c r="AW695" i="1"/>
  <c r="AW694" i="1"/>
  <c r="AW693" i="1"/>
  <c r="AW692" i="1"/>
  <c r="AW691" i="1"/>
  <c r="AW690" i="1"/>
  <c r="AW689" i="1"/>
  <c r="AW688" i="1"/>
  <c r="AW687" i="1"/>
  <c r="AW686" i="1"/>
  <c r="AW685" i="1"/>
  <c r="AW684" i="1"/>
  <c r="AW683" i="1"/>
  <c r="AW682" i="1"/>
  <c r="AW681" i="1"/>
  <c r="AW680" i="1"/>
  <c r="AW679" i="1"/>
  <c r="AW678" i="1"/>
  <c r="AW677" i="1"/>
  <c r="AW676" i="1"/>
  <c r="AW675" i="1"/>
  <c r="AW674" i="1"/>
  <c r="AW673" i="1"/>
  <c r="AW672" i="1"/>
  <c r="AW671" i="1"/>
  <c r="AW670" i="1"/>
  <c r="AW669" i="1"/>
  <c r="AW668" i="1"/>
  <c r="AW667" i="1"/>
  <c r="AW666" i="1"/>
  <c r="AW665" i="1"/>
  <c r="AW664" i="1"/>
  <c r="AW663" i="1"/>
  <c r="AW662" i="1"/>
  <c r="AW661" i="1"/>
  <c r="AW660" i="1"/>
  <c r="AW659" i="1"/>
  <c r="AW658" i="1"/>
  <c r="AW657" i="1"/>
  <c r="AW656" i="1"/>
  <c r="AW655" i="1"/>
  <c r="AW654" i="1"/>
  <c r="AW653" i="1"/>
  <c r="AW652" i="1"/>
  <c r="AW651" i="1"/>
  <c r="AW650" i="1"/>
  <c r="AW649" i="1"/>
  <c r="AW648" i="1"/>
  <c r="BL647" i="1"/>
  <c r="AW647" i="1"/>
  <c r="AW646" i="1"/>
  <c r="AW645" i="1"/>
  <c r="AW644" i="1"/>
  <c r="AW643" i="1"/>
  <c r="AW642" i="1"/>
  <c r="AW641" i="1"/>
  <c r="AW640" i="1"/>
  <c r="AW639" i="1"/>
  <c r="AW638" i="1"/>
  <c r="AW637" i="1"/>
  <c r="AW636" i="1"/>
  <c r="AW635" i="1"/>
  <c r="AW634" i="1"/>
  <c r="BL633" i="1"/>
  <c r="BL477" i="1" s="1"/>
  <c r="BL13" i="1" s="1"/>
  <c r="BK633" i="1"/>
  <c r="BJ633" i="1"/>
  <c r="AW633" i="1" s="1"/>
  <c r="AW632" i="1"/>
  <c r="AW631" i="1"/>
  <c r="AW630" i="1"/>
  <c r="AW629" i="1"/>
  <c r="AW628" i="1"/>
  <c r="AW627" i="1"/>
  <c r="AW626" i="1"/>
  <c r="AW625" i="1"/>
  <c r="AW624" i="1"/>
  <c r="AW623" i="1"/>
  <c r="AW622" i="1"/>
  <c r="AW621" i="1"/>
  <c r="AW620" i="1"/>
  <c r="AW619" i="1"/>
  <c r="AW618" i="1"/>
  <c r="AW617" i="1"/>
  <c r="AW616" i="1"/>
  <c r="AW615" i="1"/>
  <c r="AW614" i="1"/>
  <c r="AW613" i="1"/>
  <c r="AW612" i="1"/>
  <c r="AW611" i="1"/>
  <c r="AW610" i="1"/>
  <c r="AW609" i="1"/>
  <c r="AW608" i="1"/>
  <c r="AW607" i="1"/>
  <c r="AW606" i="1"/>
  <c r="AW605" i="1"/>
  <c r="AW604" i="1"/>
  <c r="AW603" i="1"/>
  <c r="AW602" i="1"/>
  <c r="AW601" i="1"/>
  <c r="AW600" i="1"/>
  <c r="AW599" i="1"/>
  <c r="AW598" i="1"/>
  <c r="BL597" i="1"/>
  <c r="AW597" i="1"/>
  <c r="AW596" i="1"/>
  <c r="AW595" i="1"/>
  <c r="AW594" i="1"/>
  <c r="AW593" i="1"/>
  <c r="AW592" i="1"/>
  <c r="AW591" i="1"/>
  <c r="AW590" i="1"/>
  <c r="AW589" i="1"/>
  <c r="AW588" i="1"/>
  <c r="AW587" i="1"/>
  <c r="AW586" i="1"/>
  <c r="AW585" i="1"/>
  <c r="AW584" i="1"/>
  <c r="AW583" i="1"/>
  <c r="AW582" i="1"/>
  <c r="AW581" i="1"/>
  <c r="AW580" i="1"/>
  <c r="AW579" i="1"/>
  <c r="AW578" i="1"/>
  <c r="AW577" i="1"/>
  <c r="AW576" i="1"/>
  <c r="AW575" i="1"/>
  <c r="AW574" i="1"/>
  <c r="AW573" i="1"/>
  <c r="AW572" i="1"/>
  <c r="AW571" i="1"/>
  <c r="AW570" i="1"/>
  <c r="AW569" i="1"/>
  <c r="AW568" i="1"/>
  <c r="AW567" i="1"/>
  <c r="AW566" i="1"/>
  <c r="AW565" i="1"/>
  <c r="AW564" i="1"/>
  <c r="AW563" i="1"/>
  <c r="AW562" i="1"/>
  <c r="AW561" i="1"/>
  <c r="AW560" i="1"/>
  <c r="AW559" i="1"/>
  <c r="AW558" i="1"/>
  <c r="AW557" i="1"/>
  <c r="AW556" i="1"/>
  <c r="AW555" i="1"/>
  <c r="AW554" i="1"/>
  <c r="AW553" i="1"/>
  <c r="AW552" i="1"/>
  <c r="AW551" i="1"/>
  <c r="AW550" i="1"/>
  <c r="AW549" i="1"/>
  <c r="AW548" i="1"/>
  <c r="AW547" i="1"/>
  <c r="AW546" i="1"/>
  <c r="AW545" i="1"/>
  <c r="AW544" i="1"/>
  <c r="AW543" i="1"/>
  <c r="AW542" i="1"/>
  <c r="AW541" i="1"/>
  <c r="AW540" i="1"/>
  <c r="AW539" i="1"/>
  <c r="AW538" i="1"/>
  <c r="AW537" i="1"/>
  <c r="AW536" i="1"/>
  <c r="AW535" i="1"/>
  <c r="AW534" i="1"/>
  <c r="AW533" i="1"/>
  <c r="AW532" i="1"/>
  <c r="AW531" i="1"/>
  <c r="AW530" i="1"/>
  <c r="AW529" i="1"/>
  <c r="AW528" i="1"/>
  <c r="AW527" i="1"/>
  <c r="AW526" i="1"/>
  <c r="AW525" i="1"/>
  <c r="AW524" i="1"/>
  <c r="AW523" i="1"/>
  <c r="BE522" i="1"/>
  <c r="AW522" i="1"/>
  <c r="BE521" i="1"/>
  <c r="AW521" i="1" s="1"/>
  <c r="AW520" i="1"/>
  <c r="AW519" i="1"/>
  <c r="AW518" i="1"/>
  <c r="AW517" i="1"/>
  <c r="AW516" i="1"/>
  <c r="AW515" i="1"/>
  <c r="AW514" i="1"/>
  <c r="AW513" i="1"/>
  <c r="AW512" i="1"/>
  <c r="AW511" i="1"/>
  <c r="AW510" i="1"/>
  <c r="AW509" i="1"/>
  <c r="AW508" i="1"/>
  <c r="AW507" i="1"/>
  <c r="AW506" i="1"/>
  <c r="AW505" i="1"/>
  <c r="AW504" i="1"/>
  <c r="AW503" i="1"/>
  <c r="AW502" i="1"/>
  <c r="AW501" i="1"/>
  <c r="AW500" i="1"/>
  <c r="AW499" i="1"/>
  <c r="AW498" i="1"/>
  <c r="AW497" i="1"/>
  <c r="AW496" i="1"/>
  <c r="AW495" i="1"/>
  <c r="AW494" i="1"/>
  <c r="AW493" i="1"/>
  <c r="AW492" i="1"/>
  <c r="AW491" i="1"/>
  <c r="AW490" i="1"/>
  <c r="AW489" i="1"/>
  <c r="AW488" i="1"/>
  <c r="AW487" i="1"/>
  <c r="AW486" i="1"/>
  <c r="AW485" i="1"/>
  <c r="AW484" i="1"/>
  <c r="AW483" i="1"/>
  <c r="AW482" i="1"/>
  <c r="AW481" i="1"/>
  <c r="AW480" i="1"/>
  <c r="AW479" i="1"/>
  <c r="AW478" i="1"/>
  <c r="BK477" i="1"/>
  <c r="BJ477" i="1"/>
  <c r="BJ13" i="1" s="1"/>
  <c r="BI477" i="1"/>
  <c r="BH477" i="1"/>
  <c r="BG477" i="1"/>
  <c r="BF477" i="1"/>
  <c r="BF13" i="1" s="1"/>
  <c r="BE477" i="1"/>
  <c r="BD477" i="1"/>
  <c r="BC477" i="1"/>
  <c r="BB477" i="1"/>
  <c r="BA477" i="1"/>
  <c r="AZ477" i="1"/>
  <c r="AY477" i="1"/>
  <c r="AX477" i="1"/>
  <c r="AW476" i="1"/>
  <c r="AW475" i="1"/>
  <c r="AW474" i="1"/>
  <c r="AW473" i="1"/>
  <c r="AW472" i="1"/>
  <c r="AW471" i="1"/>
  <c r="AW470" i="1"/>
  <c r="AW469" i="1"/>
  <c r="AW468" i="1"/>
  <c r="AW467" i="1"/>
  <c r="AW466" i="1"/>
  <c r="AW465" i="1"/>
  <c r="BK464" i="1"/>
  <c r="AW464" i="1"/>
  <c r="AW463" i="1"/>
  <c r="AW462" i="1"/>
  <c r="AW461" i="1"/>
  <c r="AW460" i="1"/>
  <c r="AW459" i="1"/>
  <c r="AW458" i="1"/>
  <c r="AW457" i="1"/>
  <c r="AW456" i="1"/>
  <c r="AW455" i="1"/>
  <c r="AW454" i="1"/>
  <c r="AW453" i="1"/>
  <c r="AW452" i="1"/>
  <c r="AW451" i="1"/>
  <c r="AW450" i="1"/>
  <c r="AW449" i="1"/>
  <c r="AW448" i="1"/>
  <c r="AW447" i="1"/>
  <c r="AW446" i="1"/>
  <c r="AW445" i="1"/>
  <c r="AW444" i="1"/>
  <c r="AW443" i="1"/>
  <c r="AW442" i="1"/>
  <c r="AW441" i="1"/>
  <c r="AW440" i="1"/>
  <c r="AW439" i="1"/>
  <c r="AW438" i="1"/>
  <c r="AW437" i="1"/>
  <c r="AW436" i="1"/>
  <c r="AW435" i="1"/>
  <c r="AW434" i="1"/>
  <c r="AW433" i="1"/>
  <c r="AW432" i="1"/>
  <c r="AW431" i="1"/>
  <c r="AW430" i="1"/>
  <c r="AW429" i="1"/>
  <c r="AW428" i="1"/>
  <c r="AW427" i="1"/>
  <c r="AW426" i="1"/>
  <c r="AW425" i="1"/>
  <c r="AW424" i="1"/>
  <c r="AW423" i="1"/>
  <c r="AW422" i="1"/>
  <c r="AW421" i="1"/>
  <c r="AW420" i="1"/>
  <c r="AW419" i="1"/>
  <c r="AW418" i="1"/>
  <c r="AW417" i="1"/>
  <c r="AW416" i="1"/>
  <c r="AW415" i="1"/>
  <c r="AW414" i="1"/>
  <c r="AW413" i="1"/>
  <c r="AW412" i="1"/>
  <c r="AW411" i="1"/>
  <c r="AW410" i="1"/>
  <c r="AW409" i="1"/>
  <c r="AW408" i="1"/>
  <c r="AW407" i="1"/>
  <c r="AW406" i="1"/>
  <c r="AW405" i="1"/>
  <c r="AW404" i="1"/>
  <c r="AW403" i="1"/>
  <c r="AW402" i="1"/>
  <c r="AW401" i="1"/>
  <c r="AW400" i="1"/>
  <c r="AW399" i="1"/>
  <c r="AW398" i="1"/>
  <c r="AW397" i="1"/>
  <c r="AW396" i="1"/>
  <c r="AW395" i="1"/>
  <c r="AW394" i="1"/>
  <c r="AW393" i="1"/>
  <c r="AW392" i="1"/>
  <c r="AW391" i="1"/>
  <c r="AW390" i="1"/>
  <c r="AW389" i="1"/>
  <c r="AW388" i="1"/>
  <c r="AW387" i="1"/>
  <c r="AW386" i="1"/>
  <c r="AW385" i="1"/>
  <c r="AW384" i="1"/>
  <c r="AW383" i="1"/>
  <c r="AW382" i="1"/>
  <c r="AW381" i="1"/>
  <c r="AW380" i="1"/>
  <c r="AW379" i="1"/>
  <c r="AW378" i="1"/>
  <c r="AW377" i="1"/>
  <c r="AW376" i="1"/>
  <c r="AW375" i="1"/>
  <c r="AW374" i="1"/>
  <c r="AW373" i="1"/>
  <c r="AW372" i="1"/>
  <c r="AW371" i="1"/>
  <c r="AW370" i="1"/>
  <c r="AW369" i="1"/>
  <c r="AW368" i="1"/>
  <c r="AW367" i="1"/>
  <c r="AW366" i="1"/>
  <c r="AW365" i="1"/>
  <c r="AW364" i="1"/>
  <c r="AW363" i="1"/>
  <c r="AW362" i="1"/>
  <c r="AW361" i="1"/>
  <c r="BL360" i="1"/>
  <c r="AW360" i="1"/>
  <c r="BL359" i="1"/>
  <c r="AW359" i="1" s="1"/>
  <c r="AW358" i="1"/>
  <c r="AW357" i="1"/>
  <c r="AW356" i="1"/>
  <c r="AW355" i="1"/>
  <c r="AW354" i="1"/>
  <c r="AW353" i="1"/>
  <c r="AW352" i="1"/>
  <c r="AW351" i="1"/>
  <c r="AW350" i="1"/>
  <c r="AW349" i="1"/>
  <c r="AW348" i="1"/>
  <c r="AW347" i="1"/>
  <c r="AW346" i="1"/>
  <c r="AW345" i="1"/>
  <c r="AW344" i="1"/>
  <c r="AW343" i="1"/>
  <c r="AW342" i="1"/>
  <c r="AW341" i="1"/>
  <c r="AW340" i="1"/>
  <c r="BL339" i="1"/>
  <c r="AW339" i="1"/>
  <c r="AW338" i="1"/>
  <c r="AW337" i="1"/>
  <c r="AW336" i="1"/>
  <c r="AW335" i="1"/>
  <c r="AW334" i="1"/>
  <c r="AW333" i="1"/>
  <c r="AW332" i="1"/>
  <c r="AW331" i="1"/>
  <c r="AW330" i="1"/>
  <c r="AW329" i="1"/>
  <c r="AW328" i="1"/>
  <c r="AW327" i="1"/>
  <c r="AW326" i="1"/>
  <c r="AW325" i="1"/>
  <c r="AW324" i="1"/>
  <c r="AW323" i="1"/>
  <c r="AW322" i="1"/>
  <c r="AW321" i="1"/>
  <c r="AW320" i="1"/>
  <c r="AW319" i="1"/>
  <c r="AW318" i="1"/>
  <c r="AW317" i="1"/>
  <c r="BK316" i="1"/>
  <c r="AW316" i="1"/>
  <c r="AW315" i="1"/>
  <c r="AW314" i="1"/>
  <c r="AW313" i="1"/>
  <c r="AW312" i="1"/>
  <c r="AW311" i="1"/>
  <c r="AW310" i="1"/>
  <c r="AW309" i="1"/>
  <c r="AW308" i="1"/>
  <c r="AW307" i="1"/>
  <c r="AW306" i="1"/>
  <c r="AW305" i="1"/>
  <c r="AW304" i="1"/>
  <c r="AW303" i="1"/>
  <c r="AW302" i="1"/>
  <c r="AW301" i="1"/>
  <c r="AW300" i="1"/>
  <c r="AW299" i="1"/>
  <c r="BK298" i="1"/>
  <c r="AW298" i="1" s="1"/>
  <c r="AW297" i="1"/>
  <c r="AW296" i="1"/>
  <c r="BL295" i="1"/>
  <c r="AW295" i="1" s="1"/>
  <c r="AW294" i="1"/>
  <c r="AW293" i="1"/>
  <c r="BK292" i="1"/>
  <c r="AW292" i="1" s="1"/>
  <c r="AW291" i="1"/>
  <c r="AW290" i="1"/>
  <c r="AW289" i="1"/>
  <c r="AW288" i="1"/>
  <c r="AW287" i="1"/>
  <c r="AW286" i="1"/>
  <c r="AW285" i="1"/>
  <c r="AW284" i="1"/>
  <c r="AW283" i="1"/>
  <c r="AW282" i="1"/>
  <c r="AW281" i="1"/>
  <c r="AW280" i="1"/>
  <c r="AW279" i="1"/>
  <c r="AW278" i="1"/>
  <c r="BK277" i="1"/>
  <c r="AW277" i="1" s="1"/>
  <c r="AW276" i="1"/>
  <c r="AW275" i="1"/>
  <c r="AW274" i="1"/>
  <c r="AW273" i="1"/>
  <c r="AW272" i="1"/>
  <c r="AW271" i="1"/>
  <c r="AW270" i="1"/>
  <c r="AW269" i="1"/>
  <c r="AW268" i="1"/>
  <c r="AW267" i="1"/>
  <c r="BK266" i="1"/>
  <c r="AW266" i="1" s="1"/>
  <c r="AW265" i="1"/>
  <c r="AW264" i="1"/>
  <c r="AW263" i="1"/>
  <c r="AW262" i="1"/>
  <c r="AW261" i="1"/>
  <c r="AW260" i="1"/>
  <c r="AW259" i="1"/>
  <c r="BK258" i="1"/>
  <c r="AW258" i="1"/>
  <c r="AW257" i="1"/>
  <c r="AW256" i="1"/>
  <c r="AW255" i="1"/>
  <c r="AW254" i="1"/>
  <c r="AW253" i="1"/>
  <c r="AW252" i="1"/>
  <c r="AW251" i="1"/>
  <c r="AW250" i="1"/>
  <c r="AW249" i="1"/>
  <c r="AW248" i="1"/>
  <c r="AW247" i="1"/>
  <c r="AW246" i="1"/>
  <c r="AW245" i="1"/>
  <c r="AW244" i="1"/>
  <c r="AW243" i="1"/>
  <c r="AW242" i="1"/>
  <c r="AW241" i="1"/>
  <c r="AW240" i="1"/>
  <c r="AW239" i="1"/>
  <c r="AW238" i="1"/>
  <c r="AW237" i="1"/>
  <c r="AW236" i="1"/>
  <c r="AW235" i="1"/>
  <c r="AW234" i="1"/>
  <c r="AW233" i="1"/>
  <c r="AW232" i="1"/>
  <c r="BL231" i="1"/>
  <c r="AW231" i="1"/>
  <c r="AW230" i="1"/>
  <c r="AW229" i="1"/>
  <c r="AW228" i="1"/>
  <c r="AW227" i="1"/>
  <c r="AW226" i="1"/>
  <c r="AW225" i="1"/>
  <c r="AW224" i="1"/>
  <c r="AW223" i="1"/>
  <c r="AW222" i="1"/>
  <c r="AW221" i="1"/>
  <c r="AW220" i="1"/>
  <c r="AW219" i="1"/>
  <c r="AW218" i="1"/>
  <c r="AW217" i="1"/>
  <c r="BL216" i="1"/>
  <c r="AW216" i="1"/>
  <c r="AW215" i="1"/>
  <c r="AW214" i="1"/>
  <c r="AW213" i="1"/>
  <c r="AW212" i="1"/>
  <c r="AW211" i="1"/>
  <c r="AW210" i="1"/>
  <c r="AW209" i="1"/>
  <c r="AW208" i="1"/>
  <c r="AW207" i="1"/>
  <c r="BI13" i="1"/>
  <c r="BE13" i="1"/>
  <c r="AW206" i="1"/>
  <c r="AW205" i="1"/>
  <c r="AW204" i="1"/>
  <c r="AW203" i="1"/>
  <c r="AW202" i="1"/>
  <c r="AW201" i="1"/>
  <c r="AW200" i="1"/>
  <c r="AW199" i="1"/>
  <c r="AW198" i="1"/>
  <c r="AW197" i="1"/>
  <c r="AW196" i="1"/>
  <c r="AW195" i="1"/>
  <c r="AW194" i="1"/>
  <c r="AW193" i="1"/>
  <c r="AW192" i="1"/>
  <c r="AW191" i="1"/>
  <c r="AW190" i="1"/>
  <c r="AW189" i="1"/>
  <c r="AW188" i="1"/>
  <c r="AW187" i="1"/>
  <c r="AW186" i="1"/>
  <c r="AW185" i="1"/>
  <c r="AW184" i="1"/>
  <c r="AW183" i="1"/>
  <c r="AW182" i="1"/>
  <c r="AW181" i="1"/>
  <c r="AW180" i="1"/>
  <c r="AW179" i="1"/>
  <c r="AW178" i="1"/>
  <c r="AW177" i="1"/>
  <c r="AW176" i="1"/>
  <c r="AW175" i="1"/>
  <c r="AW174" i="1"/>
  <c r="AW173" i="1"/>
  <c r="AW172" i="1"/>
  <c r="AW171" i="1"/>
  <c r="AW170" i="1"/>
  <c r="AW169" i="1"/>
  <c r="AW168" i="1"/>
  <c r="AW167" i="1"/>
  <c r="AW166" i="1"/>
  <c r="BH165" i="1"/>
  <c r="AW165" i="1" s="1"/>
  <c r="AW164" i="1"/>
  <c r="AW163" i="1"/>
  <c r="AW162" i="1"/>
  <c r="AW161" i="1"/>
  <c r="AW160" i="1"/>
  <c r="AW159" i="1"/>
  <c r="AW158" i="1"/>
  <c r="AW157" i="1"/>
  <c r="AW156" i="1"/>
  <c r="AW155" i="1"/>
  <c r="AW154" i="1"/>
  <c r="AW153" i="1"/>
  <c r="AW152" i="1"/>
  <c r="AW151" i="1"/>
  <c r="AW150" i="1"/>
  <c r="AW149" i="1"/>
  <c r="AW148" i="1"/>
  <c r="AW147" i="1"/>
  <c r="AW146" i="1"/>
  <c r="AW145" i="1"/>
  <c r="AW144" i="1"/>
  <c r="AW143" i="1"/>
  <c r="AW142" i="1"/>
  <c r="AW141" i="1"/>
  <c r="AW140" i="1"/>
  <c r="AW139" i="1"/>
  <c r="AW138" i="1"/>
  <c r="AW137" i="1"/>
  <c r="AW136" i="1"/>
  <c r="AW135" i="1"/>
  <c r="AW134" i="1"/>
  <c r="AW133" i="1"/>
  <c r="AW132" i="1"/>
  <c r="AW131" i="1"/>
  <c r="AW130" i="1"/>
  <c r="AW129" i="1"/>
  <c r="AW128" i="1"/>
  <c r="AW127" i="1"/>
  <c r="AW126" i="1"/>
  <c r="AW125" i="1"/>
  <c r="AW124" i="1"/>
  <c r="AW123" i="1"/>
  <c r="AW122" i="1"/>
  <c r="AW121" i="1"/>
  <c r="AW120" i="1"/>
  <c r="AW119" i="1"/>
  <c r="AW118" i="1"/>
  <c r="AW117" i="1"/>
  <c r="AW116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BI78" i="1"/>
  <c r="AW78" i="1"/>
  <c r="AW77" i="1"/>
  <c r="AW76" i="1"/>
  <c r="AW75" i="1"/>
  <c r="BK74" i="1"/>
  <c r="AW74" i="1"/>
  <c r="AW73" i="1"/>
  <c r="AW72" i="1"/>
  <c r="AW71" i="1"/>
  <c r="AW70" i="1"/>
  <c r="BB69" i="1"/>
  <c r="AW69" i="1" s="1"/>
  <c r="AW68" i="1"/>
  <c r="AW67" i="1"/>
  <c r="AW66" i="1"/>
  <c r="BK65" i="1"/>
  <c r="AW65" i="1"/>
  <c r="AW64" i="1"/>
  <c r="AW63" i="1"/>
  <c r="AW62" i="1"/>
  <c r="BK61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BJ27" i="1"/>
  <c r="AW27" i="1"/>
  <c r="AW26" i="1"/>
  <c r="AW25" i="1"/>
  <c r="AW24" i="1"/>
  <c r="AW23" i="1"/>
  <c r="AW22" i="1"/>
  <c r="AW21" i="1"/>
  <c r="AW20" i="1"/>
  <c r="AW19" i="1"/>
  <c r="AW18" i="1"/>
  <c r="BL17" i="1"/>
  <c r="BK17" i="1"/>
  <c r="BJ17" i="1"/>
  <c r="BI17" i="1"/>
  <c r="BH17" i="1"/>
  <c r="BG17" i="1"/>
  <c r="BF17" i="1"/>
  <c r="BE17" i="1"/>
  <c r="BD17" i="1"/>
  <c r="BC17" i="1"/>
  <c r="BA17" i="1"/>
  <c r="AZ17" i="1"/>
  <c r="AZ14" i="1" s="1"/>
  <c r="AZ13" i="1" s="1"/>
  <c r="AY17" i="1"/>
  <c r="AX17" i="1"/>
  <c r="BL14" i="1"/>
  <c r="BK14" i="1"/>
  <c r="BJ14" i="1"/>
  <c r="BI14" i="1"/>
  <c r="BH14" i="1"/>
  <c r="BG14" i="1"/>
  <c r="BF14" i="1"/>
  <c r="BE14" i="1"/>
  <c r="BD14" i="1"/>
  <c r="BC14" i="1"/>
  <c r="BA14" i="1"/>
  <c r="AY14" i="1"/>
  <c r="AX14" i="1"/>
  <c r="BK13" i="1"/>
  <c r="BH13" i="1"/>
  <c r="BG13" i="1"/>
  <c r="BD13" i="1"/>
  <c r="BC13" i="1"/>
  <c r="AY13" i="1"/>
  <c r="B790" i="1"/>
  <c r="B791" i="1" s="1"/>
  <c r="B792" i="1" s="1"/>
  <c r="B793" i="1" s="1"/>
  <c r="B794" i="1" s="1"/>
  <c r="B795" i="1" s="1"/>
  <c r="A790" i="1"/>
  <c r="A791" i="1" s="1"/>
  <c r="A792" i="1" s="1"/>
  <c r="A793" i="1" s="1"/>
  <c r="A794" i="1" s="1"/>
  <c r="A795" i="1" s="1"/>
  <c r="U759" i="1"/>
  <c r="V759" i="1"/>
  <c r="U614" i="1"/>
  <c r="V614" i="1"/>
  <c r="U616" i="1"/>
  <c r="V616" i="1"/>
  <c r="P451" i="1"/>
  <c r="AV424" i="1"/>
  <c r="AU424" i="1"/>
  <c r="AS424" i="1"/>
  <c r="S424" i="1" s="1"/>
  <c r="AT424" i="1" s="1"/>
  <c r="AR424" i="1"/>
  <c r="R424" i="1" s="1"/>
  <c r="Z424" i="1"/>
  <c r="X424" i="1"/>
  <c r="E720" i="10"/>
  <c r="E714" i="10"/>
  <c r="E433" i="10"/>
  <c r="AW17" i="1" l="1"/>
  <c r="AW477" i="1"/>
  <c r="BA13" i="1"/>
  <c r="AX13" i="1"/>
  <c r="BB17" i="1"/>
  <c r="BB14" i="1" s="1"/>
  <c r="BB13" i="1" s="1"/>
  <c r="T424" i="1"/>
  <c r="N424" i="1" s="1"/>
  <c r="P765" i="1"/>
  <c r="AW14" i="1" l="1"/>
  <c r="AW13" i="1" s="1"/>
  <c r="U424" i="1"/>
  <c r="AP424" i="1"/>
  <c r="E768" i="10"/>
  <c r="E625" i="10"/>
  <c r="E623" i="10"/>
  <c r="T759" i="1"/>
  <c r="T616" i="1"/>
  <c r="T614" i="1"/>
  <c r="AR648" i="1"/>
  <c r="AR625" i="1"/>
  <c r="AR622" i="1"/>
  <c r="AR615" i="1"/>
  <c r="AR614" i="1"/>
  <c r="AS614" i="1"/>
  <c r="AT614" i="1" s="1"/>
  <c r="AS616" i="1"/>
  <c r="AR616" i="1"/>
  <c r="AS759" i="1"/>
  <c r="AR759" i="1"/>
  <c r="S336" i="1" l="1"/>
  <c r="S313" i="1"/>
  <c r="E228" i="14"/>
  <c r="P420" i="1" l="1"/>
  <c r="AU213" i="1" l="1"/>
  <c r="AR217" i="1" l="1"/>
  <c r="AS217" i="1"/>
  <c r="AV701" i="1" l="1"/>
  <c r="AU701" i="1"/>
  <c r="AS701" i="1"/>
  <c r="S701" i="1" s="1"/>
  <c r="AR701" i="1"/>
  <c r="R701" i="1" s="1"/>
  <c r="Z701" i="1"/>
  <c r="X701" i="1"/>
  <c r="AV597" i="1"/>
  <c r="AU597" i="1"/>
  <c r="AS597" i="1"/>
  <c r="S597" i="1" s="1"/>
  <c r="AR597" i="1"/>
  <c r="AQ597" i="1"/>
  <c r="Z597" i="1"/>
  <c r="X597" i="1"/>
  <c r="R597" i="1" l="1"/>
  <c r="AT597" i="1"/>
  <c r="AT701" i="1"/>
  <c r="AS742" i="1" l="1"/>
  <c r="AR742" i="1"/>
  <c r="R742" i="1" s="1"/>
  <c r="AT742" i="1" l="1"/>
  <c r="N742" i="1"/>
  <c r="V742" i="1" l="1"/>
  <c r="U742" i="1"/>
  <c r="E710" i="10" l="1"/>
  <c r="T701" i="1" s="1"/>
  <c r="AV587" i="1"/>
  <c r="AU587" i="1"/>
  <c r="AS587" i="1"/>
  <c r="S587" i="1" s="1"/>
  <c r="AR587" i="1"/>
  <c r="AQ587" i="1"/>
  <c r="Z587" i="1"/>
  <c r="X587" i="1"/>
  <c r="Z588" i="1"/>
  <c r="AQ588" i="1"/>
  <c r="AR588" i="1"/>
  <c r="AS588" i="1"/>
  <c r="AU588" i="1"/>
  <c r="AV588" i="1"/>
  <c r="N701" i="1" l="1"/>
  <c r="R587" i="1"/>
  <c r="AT587" i="1"/>
  <c r="E751" i="10"/>
  <c r="AP742" i="1" s="1"/>
  <c r="T606" i="10"/>
  <c r="E606" i="10" s="1"/>
  <c r="T597" i="1" s="1"/>
  <c r="E596" i="10"/>
  <c r="T587" i="1" s="1"/>
  <c r="E294" i="10"/>
  <c r="N597" i="1" l="1"/>
  <c r="U597" i="1" s="1"/>
  <c r="AP701" i="1"/>
  <c r="U701" i="1"/>
  <c r="V701" i="1"/>
  <c r="E518" i="10"/>
  <c r="AP597" i="1" l="1"/>
  <c r="N587" i="1"/>
  <c r="AP587" i="1" s="1"/>
  <c r="AQ741" i="1"/>
  <c r="AS741" i="1"/>
  <c r="AQ633" i="1"/>
  <c r="T642" i="10"/>
  <c r="S642" i="10"/>
  <c r="R642" i="10"/>
  <c r="AQ497" i="1"/>
  <c r="AS497" i="1"/>
  <c r="AQ615" i="1"/>
  <c r="AS615" i="1"/>
  <c r="S615" i="1" s="1"/>
  <c r="V587" i="1" l="1"/>
  <c r="U587" i="1"/>
  <c r="AV778" i="1" l="1"/>
  <c r="AR778" i="1"/>
  <c r="R778" i="1" s="1"/>
  <c r="Z778" i="1"/>
  <c r="X778" i="1"/>
  <c r="E787" i="10"/>
  <c r="AQ756" i="1"/>
  <c r="AS756" i="1"/>
  <c r="AS752" i="1"/>
  <c r="AQ752" i="1"/>
  <c r="AV758" i="1"/>
  <c r="AR758" i="1"/>
  <c r="R758" i="1" s="1"/>
  <c r="Z758" i="1"/>
  <c r="X758" i="1"/>
  <c r="E767" i="10"/>
  <c r="AS739" i="1"/>
  <c r="AS738" i="1"/>
  <c r="AS737" i="1"/>
  <c r="AS734" i="1"/>
  <c r="AS733" i="1"/>
  <c r="AS732" i="1"/>
  <c r="AS731" i="1"/>
  <c r="AS729" i="1"/>
  <c r="AS728" i="1"/>
  <c r="AS727" i="1"/>
  <c r="AS725" i="1"/>
  <c r="AS723" i="1"/>
  <c r="AS722" i="1"/>
  <c r="AQ739" i="1"/>
  <c r="AQ738" i="1"/>
  <c r="AQ737" i="1"/>
  <c r="AQ734" i="1"/>
  <c r="AQ733" i="1"/>
  <c r="AQ732" i="1"/>
  <c r="AQ731" i="1"/>
  <c r="AQ729" i="1"/>
  <c r="AQ728" i="1"/>
  <c r="AQ727" i="1"/>
  <c r="AQ725" i="1"/>
  <c r="AQ723" i="1"/>
  <c r="AQ722" i="1"/>
  <c r="AQ720" i="1"/>
  <c r="AS720" i="1"/>
  <c r="AS715" i="1"/>
  <c r="AQ715" i="1"/>
  <c r="AV724" i="1"/>
  <c r="AU724" i="1"/>
  <c r="AS724" i="1"/>
  <c r="AR724" i="1"/>
  <c r="R724" i="1" s="1"/>
  <c r="Z724" i="1"/>
  <c r="X724" i="1"/>
  <c r="P778" i="1" l="1"/>
  <c r="AU778" i="1" s="1"/>
  <c r="AV736" i="1" l="1"/>
  <c r="AU736" i="1"/>
  <c r="AR736" i="1"/>
  <c r="R736" i="1" s="1"/>
  <c r="Z736" i="1"/>
  <c r="X736" i="1"/>
  <c r="E745" i="10"/>
  <c r="AS713" i="1"/>
  <c r="S713" i="1" s="1"/>
  <c r="AV688" i="1"/>
  <c r="AU688" i="1"/>
  <c r="AR688" i="1"/>
  <c r="R688" i="1" s="1"/>
  <c r="Z688" i="1"/>
  <c r="X688" i="1"/>
  <c r="E697" i="10"/>
  <c r="AV670" i="1"/>
  <c r="AU670" i="1"/>
  <c r="AR670" i="1"/>
  <c r="R670" i="1" s="1"/>
  <c r="Z670" i="1"/>
  <c r="X670" i="1"/>
  <c r="E679" i="10"/>
  <c r="AV654" i="1"/>
  <c r="AR654" i="1"/>
  <c r="Z654" i="1"/>
  <c r="X654" i="1"/>
  <c r="E663" i="10"/>
  <c r="AV653" i="1"/>
  <c r="AU653" i="1"/>
  <c r="AR653" i="1"/>
  <c r="Z653" i="1"/>
  <c r="X653" i="1"/>
  <c r="AV652" i="1"/>
  <c r="AU652" i="1"/>
  <c r="AR652" i="1"/>
  <c r="Y652" i="1"/>
  <c r="E662" i="10"/>
  <c r="E661" i="10"/>
  <c r="AV647" i="1"/>
  <c r="AU647" i="1"/>
  <c r="AR647" i="1"/>
  <c r="Y647" i="1"/>
  <c r="T656" i="10"/>
  <c r="E656" i="10" s="1"/>
  <c r="R647" i="1" s="1"/>
  <c r="AV645" i="1"/>
  <c r="AU645" i="1"/>
  <c r="AR645" i="1"/>
  <c r="R645" i="1" s="1"/>
  <c r="Y645" i="1"/>
  <c r="AV644" i="1"/>
  <c r="AU644" i="1"/>
  <c r="AR644" i="1"/>
  <c r="R644" i="1" s="1"/>
  <c r="Y644" i="1"/>
  <c r="E654" i="10"/>
  <c r="E653" i="10"/>
  <c r="AV632" i="1"/>
  <c r="AU632" i="1"/>
  <c r="AR632" i="1"/>
  <c r="R632" i="1" s="1"/>
  <c r="Y632" i="1"/>
  <c r="E641" i="10"/>
  <c r="AV628" i="1"/>
  <c r="AU628" i="1"/>
  <c r="AR628" i="1"/>
  <c r="Z628" i="1"/>
  <c r="X628" i="1"/>
  <c r="E637" i="10"/>
  <c r="AV624" i="1"/>
  <c r="AU624" i="1"/>
  <c r="AR624" i="1"/>
  <c r="R624" i="1" s="1"/>
  <c r="Y624" i="1"/>
  <c r="E633" i="10"/>
  <c r="AV621" i="1"/>
  <c r="AU621" i="1"/>
  <c r="AR621" i="1"/>
  <c r="Z621" i="1"/>
  <c r="X621" i="1"/>
  <c r="E630" i="10"/>
  <c r="N647" i="1" l="1"/>
  <c r="AP647" i="1" s="1"/>
  <c r="U647" i="1" l="1"/>
  <c r="V647" i="1"/>
  <c r="AA647" i="1"/>
  <c r="AD647" i="1"/>
  <c r="AS612" i="1" l="1"/>
  <c r="S612" i="1" s="1"/>
  <c r="AQ612" i="1"/>
  <c r="AV613" i="1"/>
  <c r="AU613" i="1"/>
  <c r="AR613" i="1"/>
  <c r="R613" i="1" s="1"/>
  <c r="Z613" i="1"/>
  <c r="X613" i="1"/>
  <c r="AV612" i="1"/>
  <c r="AU612" i="1"/>
  <c r="AR612" i="1"/>
  <c r="R612" i="1" s="1"/>
  <c r="Z612" i="1"/>
  <c r="X612" i="1"/>
  <c r="E622" i="10"/>
  <c r="E621" i="10"/>
  <c r="AV611" i="1"/>
  <c r="AR611" i="1"/>
  <c r="R611" i="1" s="1"/>
  <c r="Z611" i="1"/>
  <c r="X611" i="1"/>
  <c r="AU611" i="1"/>
  <c r="E620" i="10"/>
  <c r="AR602" i="1"/>
  <c r="AR603" i="1"/>
  <c r="AV603" i="1"/>
  <c r="S603" i="1"/>
  <c r="P603" i="1"/>
  <c r="AV602" i="1"/>
  <c r="AU602" i="1"/>
  <c r="S602" i="1"/>
  <c r="E612" i="10"/>
  <c r="E611" i="10"/>
  <c r="AV582" i="1"/>
  <c r="AR582" i="1"/>
  <c r="R582" i="1" s="1"/>
  <c r="Z582" i="1"/>
  <c r="X582" i="1"/>
  <c r="E591" i="10"/>
  <c r="AV581" i="1"/>
  <c r="AU581" i="1"/>
  <c r="AR581" i="1"/>
  <c r="Z581" i="1"/>
  <c r="X581" i="1"/>
  <c r="E590" i="10"/>
  <c r="AQ580" i="1"/>
  <c r="AT612" i="1" l="1"/>
  <c r="T612" i="1"/>
  <c r="AT602" i="1"/>
  <c r="AT603" i="1"/>
  <c r="AU603" i="1"/>
  <c r="AU582" i="1"/>
  <c r="N612" i="1" l="1"/>
  <c r="AR580" i="1"/>
  <c r="R580" i="1" s="1"/>
  <c r="E589" i="10"/>
  <c r="V612" i="1" l="1"/>
  <c r="U612" i="1"/>
  <c r="AP612" i="1"/>
  <c r="S580" i="1"/>
  <c r="AV549" i="1"/>
  <c r="AU549" i="1"/>
  <c r="AR549" i="1"/>
  <c r="Z549" i="1"/>
  <c r="X549" i="1"/>
  <c r="E558" i="10"/>
  <c r="AV564" i="1"/>
  <c r="AR564" i="1"/>
  <c r="Z564" i="1"/>
  <c r="X564" i="1"/>
  <c r="X565" i="1"/>
  <c r="Z565" i="1"/>
  <c r="AR565" i="1"/>
  <c r="R565" i="1" s="1"/>
  <c r="AS565" i="1"/>
  <c r="S565" i="1" s="1"/>
  <c r="AU565" i="1"/>
  <c r="AV565" i="1"/>
  <c r="E573" i="10"/>
  <c r="AV563" i="1"/>
  <c r="AU563" i="1"/>
  <c r="AR563" i="1"/>
  <c r="Z563" i="1"/>
  <c r="X563" i="1"/>
  <c r="E572" i="10"/>
  <c r="AS499" i="1"/>
  <c r="AQ499" i="1"/>
  <c r="AS496" i="1"/>
  <c r="AS495" i="1"/>
  <c r="AS494" i="1"/>
  <c r="AQ496" i="1"/>
  <c r="AQ495" i="1"/>
  <c r="AQ494" i="1"/>
  <c r="AS491" i="1"/>
  <c r="S491" i="1" s="1"/>
  <c r="AT491" i="1" s="1"/>
  <c r="AQ491" i="1"/>
  <c r="AV496" i="1"/>
  <c r="AU496" i="1"/>
  <c r="AR496" i="1"/>
  <c r="R496" i="1" s="1"/>
  <c r="Y496" i="1"/>
  <c r="AV495" i="1"/>
  <c r="AU495" i="1"/>
  <c r="AR495" i="1"/>
  <c r="R495" i="1" s="1"/>
  <c r="Y495" i="1"/>
  <c r="AV494" i="1"/>
  <c r="AU494" i="1"/>
  <c r="AR494" i="1"/>
  <c r="R494" i="1" s="1"/>
  <c r="Y494" i="1"/>
  <c r="AV493" i="1"/>
  <c r="AU493" i="1"/>
  <c r="AR493" i="1"/>
  <c r="R493" i="1" s="1"/>
  <c r="Y493" i="1"/>
  <c r="AV492" i="1"/>
  <c r="AU492" i="1"/>
  <c r="AR492" i="1"/>
  <c r="R492" i="1" s="1"/>
  <c r="Y492" i="1"/>
  <c r="AV491" i="1"/>
  <c r="AU491" i="1"/>
  <c r="AR491" i="1"/>
  <c r="R491" i="1" s="1"/>
  <c r="Y491" i="1"/>
  <c r="E505" i="10"/>
  <c r="E504" i="10"/>
  <c r="E503" i="10"/>
  <c r="E502" i="10"/>
  <c r="E501" i="10"/>
  <c r="E500" i="10"/>
  <c r="AS486" i="1"/>
  <c r="AV486" i="1"/>
  <c r="AU486" i="1"/>
  <c r="AR486" i="1"/>
  <c r="Y486" i="1"/>
  <c r="E495" i="10"/>
  <c r="AV481" i="1"/>
  <c r="AU481" i="1"/>
  <c r="AR481" i="1"/>
  <c r="R481" i="1" s="1"/>
  <c r="Z481" i="1"/>
  <c r="X481" i="1"/>
  <c r="E490" i="10"/>
  <c r="AV455" i="1"/>
  <c r="AU455" i="1"/>
  <c r="AS455" i="1"/>
  <c r="AR455" i="1"/>
  <c r="R455" i="1" s="1"/>
  <c r="Y455" i="1"/>
  <c r="AV454" i="1"/>
  <c r="AU454" i="1"/>
  <c r="AS454" i="1"/>
  <c r="AR454" i="1"/>
  <c r="AQ454" i="1"/>
  <c r="Y454" i="1"/>
  <c r="AV453" i="1"/>
  <c r="AU453" i="1"/>
  <c r="AS453" i="1"/>
  <c r="S453" i="1" s="1"/>
  <c r="AT453" i="1" s="1"/>
  <c r="AR453" i="1"/>
  <c r="R453" i="1" s="1"/>
  <c r="Y453" i="1"/>
  <c r="AV452" i="1"/>
  <c r="AU452" i="1"/>
  <c r="AS452" i="1"/>
  <c r="S452" i="1" s="1"/>
  <c r="AR452" i="1"/>
  <c r="R452" i="1" s="1"/>
  <c r="Y452" i="1"/>
  <c r="AV451" i="1"/>
  <c r="AU451" i="1"/>
  <c r="AS451" i="1"/>
  <c r="S451" i="1" s="1"/>
  <c r="AT451" i="1" s="1"/>
  <c r="AR451" i="1"/>
  <c r="R451" i="1" s="1"/>
  <c r="Y451" i="1"/>
  <c r="AV450" i="1"/>
  <c r="AU450" i="1"/>
  <c r="AS450" i="1"/>
  <c r="S450" i="1" s="1"/>
  <c r="AR450" i="1"/>
  <c r="R450" i="1" s="1"/>
  <c r="Y450" i="1"/>
  <c r="AV449" i="1"/>
  <c r="AU449" i="1"/>
  <c r="AS449" i="1"/>
  <c r="S449" i="1" s="1"/>
  <c r="AS775" i="1" s="1"/>
  <c r="AR449" i="1"/>
  <c r="R449" i="1" s="1"/>
  <c r="Y449" i="1"/>
  <c r="AV448" i="1"/>
  <c r="AU448" i="1"/>
  <c r="AS448" i="1"/>
  <c r="AR448" i="1"/>
  <c r="R448" i="1" s="1"/>
  <c r="AQ774" i="1" s="1"/>
  <c r="Y448" i="1"/>
  <c r="E464" i="10"/>
  <c r="E463" i="10"/>
  <c r="E462" i="10"/>
  <c r="E461" i="10"/>
  <c r="E460" i="10"/>
  <c r="E459" i="10"/>
  <c r="E458" i="10"/>
  <c r="E457" i="10"/>
  <c r="AV427" i="1"/>
  <c r="AU427" i="1"/>
  <c r="AS427" i="1"/>
  <c r="AR427" i="1"/>
  <c r="R427" i="1" s="1"/>
  <c r="Z427" i="1"/>
  <c r="X427" i="1"/>
  <c r="E436" i="10"/>
  <c r="AV425" i="1"/>
  <c r="AU425" i="1"/>
  <c r="AS425" i="1"/>
  <c r="AR425" i="1"/>
  <c r="AQ425" i="1"/>
  <c r="Z425" i="1"/>
  <c r="X425" i="1"/>
  <c r="E434" i="10"/>
  <c r="T425" i="1" s="1"/>
  <c r="AV422" i="1"/>
  <c r="AU422" i="1"/>
  <c r="AS422" i="1"/>
  <c r="S422" i="1" s="1"/>
  <c r="AS711" i="1" s="1"/>
  <c r="AR422" i="1"/>
  <c r="R422" i="1" s="1"/>
  <c r="AQ711" i="1" s="1"/>
  <c r="Z422" i="1"/>
  <c r="X422" i="1"/>
  <c r="E431" i="10"/>
  <c r="AQ709" i="1"/>
  <c r="AV418" i="1"/>
  <c r="AU418" i="1"/>
  <c r="AS418" i="1"/>
  <c r="S418" i="1" s="1"/>
  <c r="AR418" i="1"/>
  <c r="R418" i="1" s="1"/>
  <c r="AQ708" i="1" s="1"/>
  <c r="Z418" i="1"/>
  <c r="X418" i="1"/>
  <c r="E427" i="10"/>
  <c r="AV420" i="1"/>
  <c r="AU420" i="1"/>
  <c r="AS420" i="1"/>
  <c r="S420" i="1" s="1"/>
  <c r="AS702" i="1" s="1"/>
  <c r="AR420" i="1"/>
  <c r="R420" i="1" s="1"/>
  <c r="AQ702" i="1" s="1"/>
  <c r="Z420" i="1"/>
  <c r="X420" i="1"/>
  <c r="E429" i="10"/>
  <c r="AV417" i="1"/>
  <c r="AU417" i="1"/>
  <c r="AS417" i="1"/>
  <c r="S417" i="1" s="1"/>
  <c r="AS700" i="1" s="1"/>
  <c r="AR417" i="1"/>
  <c r="R417" i="1" s="1"/>
  <c r="AQ700" i="1" s="1"/>
  <c r="Z417" i="1"/>
  <c r="X417" i="1"/>
  <c r="AV416" i="1"/>
  <c r="AU416" i="1"/>
  <c r="AS416" i="1"/>
  <c r="S416" i="1" s="1"/>
  <c r="AT416" i="1" s="1"/>
  <c r="AR416" i="1"/>
  <c r="R416" i="1" s="1"/>
  <c r="AQ699" i="1" s="1"/>
  <c r="Z416" i="1"/>
  <c r="X416" i="1"/>
  <c r="E426" i="10"/>
  <c r="E425" i="10"/>
  <c r="AU414" i="1"/>
  <c r="AQ414" i="1"/>
  <c r="AV415" i="1"/>
  <c r="AU415" i="1"/>
  <c r="AS415" i="1"/>
  <c r="AR415" i="1"/>
  <c r="AQ415" i="1"/>
  <c r="Z415" i="1"/>
  <c r="X415" i="1"/>
  <c r="AV414" i="1"/>
  <c r="AR414" i="1"/>
  <c r="Z414" i="1"/>
  <c r="X414" i="1"/>
  <c r="E424" i="10"/>
  <c r="E423" i="10"/>
  <c r="S415" i="1" l="1"/>
  <c r="AS698" i="1" s="1"/>
  <c r="AQ730" i="1"/>
  <c r="T580" i="1"/>
  <c r="N580" i="1" s="1"/>
  <c r="AP580" i="1" s="1"/>
  <c r="S448" i="1"/>
  <c r="AS774" i="1" s="1"/>
  <c r="T486" i="1"/>
  <c r="AQ776" i="1"/>
  <c r="AS776" i="1"/>
  <c r="AQ777" i="1"/>
  <c r="AS777" i="1"/>
  <c r="AQ775" i="1"/>
  <c r="R454" i="1"/>
  <c r="AQ716" i="1"/>
  <c r="T450" i="1"/>
  <c r="AT450" i="1"/>
  <c r="T451" i="1"/>
  <c r="AT452" i="1"/>
  <c r="T453" i="1"/>
  <c r="N453" i="1" s="1"/>
  <c r="T452" i="1"/>
  <c r="S455" i="1"/>
  <c r="AT449" i="1"/>
  <c r="T449" i="1"/>
  <c r="AS716" i="1"/>
  <c r="S427" i="1"/>
  <c r="AT425" i="1"/>
  <c r="AT422" i="1"/>
  <c r="T422" i="1"/>
  <c r="AS709" i="1"/>
  <c r="AS708" i="1"/>
  <c r="T418" i="1"/>
  <c r="AT418" i="1"/>
  <c r="R415" i="1"/>
  <c r="AQ698" i="1" s="1"/>
  <c r="T420" i="1"/>
  <c r="AT420" i="1"/>
  <c r="R414" i="1"/>
  <c r="AQ697" i="1" s="1"/>
  <c r="AS699" i="1"/>
  <c r="T417" i="1"/>
  <c r="T416" i="1"/>
  <c r="AT417" i="1"/>
  <c r="AT415" i="1" l="1"/>
  <c r="T415" i="1"/>
  <c r="AS730" i="1"/>
  <c r="U580" i="1"/>
  <c r="T448" i="1"/>
  <c r="T491" i="1"/>
  <c r="AT448" i="1"/>
  <c r="N486" i="1"/>
  <c r="U486" i="1" s="1"/>
  <c r="S454" i="1"/>
  <c r="N454" i="1" s="1"/>
  <c r="AD454" i="1" s="1"/>
  <c r="N450" i="1"/>
  <c r="AD450" i="1" s="1"/>
  <c r="N451" i="1"/>
  <c r="U451" i="1" s="1"/>
  <c r="N449" i="1"/>
  <c r="AA449" i="1" s="1"/>
  <c r="U453" i="1"/>
  <c r="AA453" i="1"/>
  <c r="AP453" i="1"/>
  <c r="AD453" i="1"/>
  <c r="N452" i="1"/>
  <c r="AT427" i="1"/>
  <c r="T427" i="1"/>
  <c r="AT455" i="1"/>
  <c r="N455" i="1"/>
  <c r="N422" i="1"/>
  <c r="N418" i="1"/>
  <c r="S414" i="1"/>
  <c r="N420" i="1"/>
  <c r="N416" i="1"/>
  <c r="N417" i="1"/>
  <c r="N425" i="1" l="1"/>
  <c r="U425" i="1" s="1"/>
  <c r="N448" i="1"/>
  <c r="U448" i="1" s="1"/>
  <c r="AP454" i="1"/>
  <c r="AA454" i="1"/>
  <c r="N491" i="1"/>
  <c r="AD491" i="1" s="1"/>
  <c r="U454" i="1"/>
  <c r="AT454" i="1"/>
  <c r="AP486" i="1"/>
  <c r="AD486" i="1"/>
  <c r="AA486" i="1"/>
  <c r="AP449" i="1"/>
  <c r="AP450" i="1"/>
  <c r="N427" i="1"/>
  <c r="AP427" i="1" s="1"/>
  <c r="U450" i="1"/>
  <c r="AA450" i="1"/>
  <c r="AA451" i="1"/>
  <c r="AD451" i="1"/>
  <c r="AP451" i="1"/>
  <c r="AD449" i="1"/>
  <c r="U449" i="1"/>
  <c r="AP455" i="1"/>
  <c r="AD455" i="1"/>
  <c r="AA455" i="1"/>
  <c r="U455" i="1"/>
  <c r="AP452" i="1"/>
  <c r="AD452" i="1"/>
  <c r="AA452" i="1"/>
  <c r="U452" i="1"/>
  <c r="N415" i="1"/>
  <c r="AP415" i="1" s="1"/>
  <c r="AP422" i="1"/>
  <c r="U422" i="1"/>
  <c r="AP418" i="1"/>
  <c r="U418" i="1"/>
  <c r="T414" i="1"/>
  <c r="AP420" i="1"/>
  <c r="U420" i="1"/>
  <c r="AP417" i="1"/>
  <c r="U417" i="1"/>
  <c r="AP416" i="1"/>
  <c r="U416" i="1"/>
  <c r="AP425" i="1" l="1"/>
  <c r="AP448" i="1"/>
  <c r="AA448" i="1"/>
  <c r="AD448" i="1"/>
  <c r="U491" i="1"/>
  <c r="AP491" i="1"/>
  <c r="V491" i="1"/>
  <c r="AA491" i="1"/>
  <c r="U427" i="1"/>
  <c r="U415" i="1"/>
  <c r="N414" i="1"/>
  <c r="AP414" i="1" l="1"/>
  <c r="U414" i="1"/>
  <c r="AV411" i="1" l="1"/>
  <c r="AU411" i="1"/>
  <c r="AS411" i="1"/>
  <c r="S411" i="1" s="1"/>
  <c r="AS696" i="1" s="1"/>
  <c r="AR411" i="1"/>
  <c r="R411" i="1" s="1"/>
  <c r="AQ696" i="1" s="1"/>
  <c r="Z411" i="1"/>
  <c r="X411" i="1"/>
  <c r="E420" i="10"/>
  <c r="AV408" i="1"/>
  <c r="AU408" i="1"/>
  <c r="AS408" i="1"/>
  <c r="AR408" i="1"/>
  <c r="R408" i="1" s="1"/>
  <c r="AQ694" i="1" s="1"/>
  <c r="Z408" i="1"/>
  <c r="X408" i="1"/>
  <c r="E417" i="10"/>
  <c r="AV369" i="1"/>
  <c r="AU369" i="1"/>
  <c r="AS369" i="1"/>
  <c r="AR369" i="1"/>
  <c r="AQ369" i="1"/>
  <c r="Z369" i="1"/>
  <c r="X369" i="1"/>
  <c r="E378" i="10"/>
  <c r="T369" i="10"/>
  <c r="T368" i="10"/>
  <c r="AV358" i="1"/>
  <c r="AU358" i="1"/>
  <c r="AS358" i="1"/>
  <c r="S358" i="1" s="1"/>
  <c r="AR358" i="1"/>
  <c r="R358" i="1" s="1"/>
  <c r="AQ646" i="1" s="1"/>
  <c r="Y358" i="1"/>
  <c r="E367" i="10"/>
  <c r="AV351" i="1"/>
  <c r="AU351" i="1"/>
  <c r="AS351" i="1"/>
  <c r="S351" i="1" s="1"/>
  <c r="AR351" i="1"/>
  <c r="R351" i="1" s="1"/>
  <c r="AQ642" i="1" s="1"/>
  <c r="Y351" i="1"/>
  <c r="E360" i="10"/>
  <c r="AS640" i="1"/>
  <c r="AS350" i="1"/>
  <c r="S350" i="1" s="1"/>
  <c r="AS639" i="1" s="1"/>
  <c r="AR350" i="1"/>
  <c r="R350" i="1" s="1"/>
  <c r="AQ639" i="1" s="1"/>
  <c r="Z350" i="1"/>
  <c r="X350" i="1"/>
  <c r="AV349" i="1"/>
  <c r="AU349" i="1"/>
  <c r="AS349" i="1"/>
  <c r="S349" i="1" s="1"/>
  <c r="AR349" i="1"/>
  <c r="R349" i="1" s="1"/>
  <c r="AQ638" i="1" s="1"/>
  <c r="Y349" i="1"/>
  <c r="E359" i="10"/>
  <c r="E358" i="10"/>
  <c r="AV348" i="1"/>
  <c r="AU348" i="1"/>
  <c r="AS348" i="1"/>
  <c r="S348" i="1" s="1"/>
  <c r="AR348" i="1"/>
  <c r="R348" i="1" s="1"/>
  <c r="Y348" i="1"/>
  <c r="E357" i="10"/>
  <c r="E351" i="10"/>
  <c r="T348" i="10"/>
  <c r="AV327" i="1"/>
  <c r="AU327" i="1"/>
  <c r="AS327" i="1"/>
  <c r="S327" i="1" s="1"/>
  <c r="AR327" i="1"/>
  <c r="AQ327" i="1"/>
  <c r="Z327" i="1"/>
  <c r="X327" i="1"/>
  <c r="E336" i="10"/>
  <c r="AV324" i="1"/>
  <c r="AU324" i="1"/>
  <c r="AS324" i="1"/>
  <c r="S324" i="1" s="1"/>
  <c r="AR324" i="1"/>
  <c r="Z324" i="1"/>
  <c r="X324" i="1"/>
  <c r="E333" i="10"/>
  <c r="E334" i="10"/>
  <c r="AV318" i="1"/>
  <c r="AU318" i="1"/>
  <c r="AS318" i="1"/>
  <c r="S318" i="1" s="1"/>
  <c r="AS617" i="1" s="1"/>
  <c r="AR318" i="1"/>
  <c r="R318" i="1" s="1"/>
  <c r="AQ617" i="1" s="1"/>
  <c r="Z318" i="1"/>
  <c r="X318" i="1"/>
  <c r="E327" i="10"/>
  <c r="AV309" i="1"/>
  <c r="AU309" i="1"/>
  <c r="AS309" i="1"/>
  <c r="AR309" i="1"/>
  <c r="AQ309" i="1"/>
  <c r="Z309" i="1"/>
  <c r="X309" i="1"/>
  <c r="E318" i="10"/>
  <c r="P297" i="1"/>
  <c r="AV287" i="1"/>
  <c r="AU287" i="1"/>
  <c r="AS287" i="1"/>
  <c r="S287" i="1" s="1"/>
  <c r="AR287" i="1"/>
  <c r="R287" i="1" s="1"/>
  <c r="AQ592" i="1" s="1"/>
  <c r="Y287" i="1"/>
  <c r="E296" i="10"/>
  <c r="AV284" i="1"/>
  <c r="AS284" i="1"/>
  <c r="S284" i="1" s="1"/>
  <c r="AR284" i="1"/>
  <c r="R284" i="1" s="1"/>
  <c r="AQ586" i="1" s="1"/>
  <c r="Y284" i="1"/>
  <c r="E293" i="10"/>
  <c r="AQ507" i="1"/>
  <c r="AS507" i="1"/>
  <c r="AT507" i="1" s="1"/>
  <c r="AR507" i="1"/>
  <c r="AV507" i="1"/>
  <c r="AU507" i="1"/>
  <c r="Z507" i="1"/>
  <c r="X507" i="1"/>
  <c r="E516" i="10"/>
  <c r="R507" i="1" s="1"/>
  <c r="N507" i="1" s="1"/>
  <c r="AP507" i="1" l="1"/>
  <c r="U507" i="1"/>
  <c r="V507" i="1"/>
  <c r="T411" i="1"/>
  <c r="AT411" i="1"/>
  <c r="S408" i="1"/>
  <c r="AS694" i="1" s="1"/>
  <c r="R369" i="1"/>
  <c r="AQ658" i="1" s="1"/>
  <c r="AS646" i="1"/>
  <c r="T358" i="1"/>
  <c r="AT358" i="1"/>
  <c r="AT351" i="1"/>
  <c r="AS638" i="1"/>
  <c r="T351" i="1"/>
  <c r="AS642" i="1"/>
  <c r="T349" i="1"/>
  <c r="N349" i="1" s="1"/>
  <c r="AP349" i="1" s="1"/>
  <c r="AT349" i="1"/>
  <c r="AT350" i="1"/>
  <c r="T350" i="1"/>
  <c r="N350" i="1" s="1"/>
  <c r="T348" i="1"/>
  <c r="AT348" i="1"/>
  <c r="R327" i="1"/>
  <c r="AQ629" i="1" s="1"/>
  <c r="AS629" i="1"/>
  <c r="AT327" i="1"/>
  <c r="AS627" i="1"/>
  <c r="AT324" i="1"/>
  <c r="T318" i="1"/>
  <c r="AT318" i="1"/>
  <c r="R309" i="1"/>
  <c r="AQ606" i="1" s="1"/>
  <c r="P284" i="1"/>
  <c r="AU284" i="1" s="1"/>
  <c r="AS592" i="1"/>
  <c r="T287" i="1"/>
  <c r="AT287" i="1"/>
  <c r="AS586" i="1"/>
  <c r="AT284" i="1"/>
  <c r="S369" i="1" l="1"/>
  <c r="AS658" i="1" s="1"/>
  <c r="N411" i="1"/>
  <c r="AT408" i="1"/>
  <c r="N408" i="1"/>
  <c r="N358" i="1"/>
  <c r="N351" i="1"/>
  <c r="AD351" i="1" s="1"/>
  <c r="U349" i="1"/>
  <c r="AD349" i="1"/>
  <c r="AA349" i="1"/>
  <c r="AP350" i="1"/>
  <c r="U350" i="1"/>
  <c r="N348" i="1"/>
  <c r="T327" i="1"/>
  <c r="S309" i="1"/>
  <c r="AS606" i="1" s="1"/>
  <c r="N318" i="1"/>
  <c r="T284" i="1"/>
  <c r="N287" i="1"/>
  <c r="AV265" i="1"/>
  <c r="AU265" i="1"/>
  <c r="AS265" i="1"/>
  <c r="AR265" i="1"/>
  <c r="R265" i="1" s="1"/>
  <c r="AQ579" i="1" s="1"/>
  <c r="Z265" i="1"/>
  <c r="X265" i="1"/>
  <c r="E274" i="10"/>
  <c r="S265" i="1" l="1"/>
  <c r="AS579" i="1" s="1"/>
  <c r="N369" i="1"/>
  <c r="AP369" i="1" s="1"/>
  <c r="AT369" i="1"/>
  <c r="AP411" i="1"/>
  <c r="U411" i="1"/>
  <c r="AP408" i="1"/>
  <c r="U408" i="1"/>
  <c r="U351" i="1"/>
  <c r="AA351" i="1"/>
  <c r="AP358" i="1"/>
  <c r="AD358" i="1"/>
  <c r="AA358" i="1"/>
  <c r="U358" i="1"/>
  <c r="AP351" i="1"/>
  <c r="AP348" i="1"/>
  <c r="AD348" i="1"/>
  <c r="AA348" i="1"/>
  <c r="U348" i="1"/>
  <c r="N327" i="1"/>
  <c r="U327" i="1" s="1"/>
  <c r="N309" i="1"/>
  <c r="U309" i="1" s="1"/>
  <c r="AT309" i="1"/>
  <c r="AP318" i="1"/>
  <c r="U318" i="1"/>
  <c r="N284" i="1"/>
  <c r="AP284" i="1" s="1"/>
  <c r="AP287" i="1"/>
  <c r="AD287" i="1"/>
  <c r="AA287" i="1"/>
  <c r="U287" i="1"/>
  <c r="S275" i="10"/>
  <c r="E275" i="10" s="1"/>
  <c r="T266" i="1" s="1"/>
  <c r="AV238" i="1"/>
  <c r="AU238" i="1"/>
  <c r="AS238" i="1"/>
  <c r="S238" i="1" s="1"/>
  <c r="AS561" i="1" s="1"/>
  <c r="AR238" i="1"/>
  <c r="R238" i="1" s="1"/>
  <c r="AQ561" i="1" s="1"/>
  <c r="Z238" i="1"/>
  <c r="X238" i="1"/>
  <c r="E247" i="10"/>
  <c r="AV234" i="1"/>
  <c r="AU234" i="1"/>
  <c r="AS234" i="1"/>
  <c r="AR234" i="1"/>
  <c r="R234" i="1" s="1"/>
  <c r="AQ556" i="1" s="1"/>
  <c r="Z234" i="1"/>
  <c r="X234" i="1"/>
  <c r="E243" i="10"/>
  <c r="X235" i="1"/>
  <c r="Z235" i="1"/>
  <c r="AR235" i="1"/>
  <c r="AS235" i="1"/>
  <c r="S235" i="1" s="1"/>
  <c r="AT235" i="1" s="1"/>
  <c r="T240" i="10"/>
  <c r="X231" i="1"/>
  <c r="Z231" i="1"/>
  <c r="AQ231" i="1"/>
  <c r="AR231" i="1"/>
  <c r="AS231" i="1"/>
  <c r="S231" i="1" s="1"/>
  <c r="AU231" i="1"/>
  <c r="AV231" i="1"/>
  <c r="AV228" i="1"/>
  <c r="AU228" i="1"/>
  <c r="AS228" i="1"/>
  <c r="AR228" i="1"/>
  <c r="R228" i="1" s="1"/>
  <c r="AQ531" i="1" s="1"/>
  <c r="Z228" i="1"/>
  <c r="X228" i="1"/>
  <c r="E237" i="10"/>
  <c r="E39" i="10"/>
  <c r="T225" i="10"/>
  <c r="AV215" i="1"/>
  <c r="AU215" i="1"/>
  <c r="AS215" i="1"/>
  <c r="AR215" i="1"/>
  <c r="AQ489" i="1" s="1"/>
  <c r="Z215" i="1"/>
  <c r="X215" i="1"/>
  <c r="E224" i="10"/>
  <c r="T215" i="1" s="1"/>
  <c r="AT265" i="1" l="1"/>
  <c r="T265" i="1"/>
  <c r="N265" i="1" s="1"/>
  <c r="U369" i="1"/>
  <c r="AP327" i="1"/>
  <c r="AP309" i="1"/>
  <c r="AA284" i="1"/>
  <c r="AD284" i="1"/>
  <c r="U284" i="1"/>
  <c r="S234" i="1"/>
  <c r="AS556" i="1" s="1"/>
  <c r="T238" i="1"/>
  <c r="AT238" i="1"/>
  <c r="R231" i="1"/>
  <c r="S228" i="1"/>
  <c r="AS531" i="1" s="1"/>
  <c r="S531" i="1" s="1"/>
  <c r="AS489" i="1"/>
  <c r="S489" i="1" s="1"/>
  <c r="T234" i="1" l="1"/>
  <c r="AT234" i="1"/>
  <c r="AP265" i="1"/>
  <c r="U265" i="1"/>
  <c r="N238" i="1"/>
  <c r="N228" i="1"/>
  <c r="AP228" i="1" s="1"/>
  <c r="AT228" i="1"/>
  <c r="AT215" i="1"/>
  <c r="N234" i="1" l="1"/>
  <c r="U234" i="1" s="1"/>
  <c r="AP238" i="1"/>
  <c r="U238" i="1"/>
  <c r="U228" i="1"/>
  <c r="N215" i="1"/>
  <c r="AP215" i="1" s="1"/>
  <c r="AP234" i="1" l="1"/>
  <c r="U215" i="1"/>
  <c r="E216" i="10" l="1"/>
  <c r="T207" i="1" s="1"/>
  <c r="E217" i="10"/>
  <c r="T208" i="1" s="1"/>
  <c r="E488" i="10"/>
  <c r="E489" i="10"/>
  <c r="E491" i="10"/>
  <c r="E492" i="10"/>
  <c r="E493" i="10"/>
  <c r="E222" i="10"/>
  <c r="T213" i="1" s="1"/>
  <c r="E497" i="10"/>
  <c r="E498" i="10"/>
  <c r="E499" i="10"/>
  <c r="E223" i="10"/>
  <c r="E506" i="10"/>
  <c r="E508" i="10"/>
  <c r="E510" i="10"/>
  <c r="E512" i="10"/>
  <c r="E513" i="10"/>
  <c r="E228" i="10"/>
  <c r="E514" i="10"/>
  <c r="E515" i="10"/>
  <c r="E517" i="10"/>
  <c r="E519" i="10"/>
  <c r="E521" i="10"/>
  <c r="E522" i="10"/>
  <c r="E229" i="10"/>
  <c r="E230" i="10"/>
  <c r="E231" i="10"/>
  <c r="E525" i="10"/>
  <c r="E526" i="10"/>
  <c r="E527" i="10"/>
  <c r="E232" i="10"/>
  <c r="E233" i="10"/>
  <c r="E529" i="10"/>
  <c r="E537" i="10"/>
  <c r="E538" i="10"/>
  <c r="E539" i="10"/>
  <c r="E540" i="10"/>
  <c r="T531" i="1" s="1"/>
  <c r="E541" i="10"/>
  <c r="E239" i="10"/>
  <c r="E543" i="10"/>
  <c r="E544" i="10"/>
  <c r="E545" i="10"/>
  <c r="E546" i="10"/>
  <c r="E547" i="10"/>
  <c r="E548" i="10"/>
  <c r="E549" i="10"/>
  <c r="E551" i="10"/>
  <c r="E552" i="10"/>
  <c r="E553" i="10"/>
  <c r="E557" i="10"/>
  <c r="T548" i="1" s="1"/>
  <c r="E559" i="10"/>
  <c r="E241" i="10"/>
  <c r="E562" i="10"/>
  <c r="E242" i="10"/>
  <c r="E563" i="10"/>
  <c r="E564" i="10"/>
  <c r="E245" i="10"/>
  <c r="E565" i="10"/>
  <c r="E566" i="10"/>
  <c r="E567" i="10"/>
  <c r="E568" i="10"/>
  <c r="E569" i="10"/>
  <c r="E570" i="10"/>
  <c r="E571" i="10"/>
  <c r="E252" i="10"/>
  <c r="E574" i="10"/>
  <c r="E254" i="10"/>
  <c r="E575" i="10"/>
  <c r="E576" i="10"/>
  <c r="E255" i="10"/>
  <c r="E579" i="10"/>
  <c r="E580" i="10"/>
  <c r="E581" i="10"/>
  <c r="E583" i="10"/>
  <c r="E585" i="10"/>
  <c r="E586" i="10"/>
  <c r="E268" i="10"/>
  <c r="E269" i="10"/>
  <c r="E270" i="10"/>
  <c r="E271" i="10"/>
  <c r="T262" i="1" s="1"/>
  <c r="E272" i="10"/>
  <c r="E587" i="10"/>
  <c r="E273" i="10"/>
  <c r="E588" i="10"/>
  <c r="E277" i="10"/>
  <c r="T268" i="1" s="1"/>
  <c r="E281" i="10"/>
  <c r="E592" i="10"/>
  <c r="T583" i="1" s="1"/>
  <c r="E288" i="10"/>
  <c r="T279" i="1" s="1"/>
  <c r="E593" i="10"/>
  <c r="E594" i="10"/>
  <c r="E595" i="10"/>
  <c r="E597" i="10"/>
  <c r="E295" i="10"/>
  <c r="E598" i="10"/>
  <c r="E599" i="10"/>
  <c r="E600" i="10"/>
  <c r="E601" i="10"/>
  <c r="E602" i="10"/>
  <c r="E603" i="10"/>
  <c r="E604" i="10"/>
  <c r="T595" i="1" s="1"/>
  <c r="E302" i="10"/>
  <c r="E605" i="10"/>
  <c r="E305" i="10"/>
  <c r="E308" i="10"/>
  <c r="E607" i="10"/>
  <c r="E309" i="10"/>
  <c r="E311" i="10"/>
  <c r="T302" i="1" s="1"/>
  <c r="E608" i="10"/>
  <c r="E609" i="10"/>
  <c r="E610" i="10"/>
  <c r="E613" i="10"/>
  <c r="E315" i="10"/>
  <c r="E614" i="10"/>
  <c r="E615" i="10"/>
  <c r="S606" i="1" s="1"/>
  <c r="E616" i="10"/>
  <c r="E617" i="10"/>
  <c r="E618" i="10"/>
  <c r="E619" i="10"/>
  <c r="E624" i="10"/>
  <c r="T615" i="1" s="1"/>
  <c r="N615" i="1" s="1"/>
  <c r="E626" i="10"/>
  <c r="E627" i="10"/>
  <c r="E628" i="10"/>
  <c r="E629" i="10"/>
  <c r="E328" i="10"/>
  <c r="E631" i="10"/>
  <c r="E634" i="10"/>
  <c r="E635" i="10"/>
  <c r="E636" i="10"/>
  <c r="E335" i="10"/>
  <c r="E638" i="10"/>
  <c r="E639" i="10"/>
  <c r="E640" i="10"/>
  <c r="E642" i="10"/>
  <c r="E643" i="10"/>
  <c r="E644" i="10"/>
  <c r="E645" i="10"/>
  <c r="E646" i="10"/>
  <c r="E647" i="10"/>
  <c r="E648" i="10"/>
  <c r="E649" i="10"/>
  <c r="E650" i="10"/>
  <c r="E651" i="10"/>
  <c r="E362" i="10"/>
  <c r="E655" i="10"/>
  <c r="E657" i="10"/>
  <c r="E658" i="10"/>
  <c r="E664" i="10"/>
  <c r="E665" i="10"/>
  <c r="E377" i="10"/>
  <c r="E666" i="10"/>
  <c r="E667" i="10"/>
  <c r="E372" i="10"/>
  <c r="E668" i="10"/>
  <c r="E669" i="10"/>
  <c r="E379" i="10"/>
  <c r="E380" i="10"/>
  <c r="E670" i="10"/>
  <c r="E671" i="10"/>
  <c r="E672" i="10"/>
  <c r="E673" i="10"/>
  <c r="E674" i="10"/>
  <c r="E675" i="10"/>
  <c r="E676" i="10"/>
  <c r="E677" i="10"/>
  <c r="E678" i="10"/>
  <c r="E680" i="10"/>
  <c r="E681" i="10"/>
  <c r="E682" i="10"/>
  <c r="E683" i="10"/>
  <c r="E684" i="10"/>
  <c r="E685" i="10"/>
  <c r="E686" i="10"/>
  <c r="E687" i="10"/>
  <c r="E688" i="10"/>
  <c r="E689" i="10"/>
  <c r="E700" i="10"/>
  <c r="E702" i="10"/>
  <c r="E703" i="10"/>
  <c r="E704" i="10"/>
  <c r="E705" i="10"/>
  <c r="E706" i="10"/>
  <c r="E707" i="10"/>
  <c r="E708" i="10"/>
  <c r="E709" i="10"/>
  <c r="E711" i="10"/>
  <c r="E712" i="10"/>
  <c r="E713" i="10"/>
  <c r="E715" i="10"/>
  <c r="E716" i="10"/>
  <c r="E418" i="10"/>
  <c r="E421" i="10"/>
  <c r="E717" i="10"/>
  <c r="E718" i="10"/>
  <c r="E719" i="10"/>
  <c r="E721" i="10"/>
  <c r="E722" i="10"/>
  <c r="E723" i="10"/>
  <c r="E724" i="10"/>
  <c r="E725" i="10"/>
  <c r="T716" i="1" s="1"/>
  <c r="E727" i="10"/>
  <c r="E729" i="10"/>
  <c r="E731" i="10"/>
  <c r="E732" i="10"/>
  <c r="E734" i="10"/>
  <c r="E735" i="10"/>
  <c r="E736" i="10"/>
  <c r="E737" i="10"/>
  <c r="E738" i="10"/>
  <c r="E739" i="10"/>
  <c r="E740" i="10"/>
  <c r="E741" i="10"/>
  <c r="E742" i="10"/>
  <c r="E743" i="10"/>
  <c r="E746" i="10"/>
  <c r="E747" i="10"/>
  <c r="E748" i="10"/>
  <c r="E750" i="10"/>
  <c r="E754" i="10"/>
  <c r="E756" i="10"/>
  <c r="E757" i="10"/>
  <c r="E760" i="10"/>
  <c r="E761" i="10"/>
  <c r="E762" i="10"/>
  <c r="E764" i="10"/>
  <c r="E765" i="10"/>
  <c r="E766" i="10"/>
  <c r="E783" i="10"/>
  <c r="E784" i="10"/>
  <c r="E785" i="10"/>
  <c r="E786" i="10"/>
  <c r="E788" i="10"/>
  <c r="E789" i="10"/>
  <c r="E790" i="10"/>
  <c r="E791" i="10"/>
  <c r="E792" i="10"/>
  <c r="E793" i="10"/>
  <c r="E795" i="10"/>
  <c r="E796" i="10"/>
  <c r="E797" i="10"/>
  <c r="E798" i="10"/>
  <c r="E800" i="10"/>
  <c r="E801" i="10"/>
  <c r="E802" i="10"/>
  <c r="E803" i="10"/>
  <c r="E475" i="10"/>
  <c r="E476" i="10"/>
  <c r="E485" i="10"/>
  <c r="E804" i="10"/>
  <c r="G486" i="10"/>
  <c r="H486" i="10"/>
  <c r="I486" i="10"/>
  <c r="J486" i="10"/>
  <c r="K486" i="10"/>
  <c r="L486" i="10"/>
  <c r="N486" i="10"/>
  <c r="O486" i="10"/>
  <c r="P486" i="10"/>
  <c r="Q486" i="10"/>
  <c r="R486" i="10"/>
  <c r="T486" i="10"/>
  <c r="Q477" i="1"/>
  <c r="AR691" i="1"/>
  <c r="R691" i="1" s="1"/>
  <c r="AS691" i="1"/>
  <c r="V615" i="1" l="1"/>
  <c r="U615" i="1"/>
  <c r="R588" i="1"/>
  <c r="S691" i="1"/>
  <c r="N691" i="1" s="1"/>
  <c r="AP691" i="1" l="1"/>
  <c r="U691" i="1"/>
  <c r="V691" i="1"/>
  <c r="S588" i="1"/>
  <c r="N588" i="1" s="1"/>
  <c r="AT565" i="1"/>
  <c r="T565" i="1"/>
  <c r="AS707" i="1"/>
  <c r="AS703" i="1"/>
  <c r="AR703" i="1"/>
  <c r="R703" i="1" s="1"/>
  <c r="AR707" i="1"/>
  <c r="R707" i="1" s="1"/>
  <c r="X588" i="1" l="1"/>
  <c r="AT588" i="1"/>
  <c r="AP588" i="1"/>
  <c r="U588" i="1"/>
  <c r="N565" i="1"/>
  <c r="S707" i="1"/>
  <c r="N707" i="1" s="1"/>
  <c r="S703" i="1"/>
  <c r="N703" i="1" s="1"/>
  <c r="AP703" i="1" l="1"/>
  <c r="U703" i="1"/>
  <c r="AP707" i="1"/>
  <c r="U707" i="1"/>
  <c r="U565" i="1"/>
  <c r="AP565" i="1"/>
  <c r="S663" i="1"/>
  <c r="R663" i="1"/>
  <c r="S662" i="1"/>
  <c r="R662" i="1"/>
  <c r="S661" i="1"/>
  <c r="R661" i="1"/>
  <c r="E389" i="10"/>
  <c r="E388" i="10"/>
  <c r="E387" i="10"/>
  <c r="E386" i="10"/>
  <c r="E385" i="10"/>
  <c r="E384" i="10"/>
  <c r="E383" i="10"/>
  <c r="E382" i="10"/>
  <c r="E381" i="10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N376" i="1" l="1"/>
  <c r="N372" i="1"/>
  <c r="N663" i="1"/>
  <c r="N378" i="1"/>
  <c r="N379" i="1"/>
  <c r="N380" i="1"/>
  <c r="N373" i="1"/>
  <c r="N661" i="1"/>
  <c r="N374" i="1"/>
  <c r="N662" i="1"/>
  <c r="N375" i="1"/>
  <c r="N377" i="1"/>
  <c r="U377" i="1" l="1"/>
  <c r="V377" i="1"/>
  <c r="AP663" i="1"/>
  <c r="U663" i="1"/>
  <c r="V663" i="1"/>
  <c r="AP661" i="1"/>
  <c r="U661" i="1"/>
  <c r="V661" i="1"/>
  <c r="V378" i="1"/>
  <c r="U378" i="1"/>
  <c r="U375" i="1"/>
  <c r="V375" i="1"/>
  <c r="U373" i="1"/>
  <c r="V373" i="1"/>
  <c r="AP662" i="1"/>
  <c r="V662" i="1"/>
  <c r="U662" i="1"/>
  <c r="V380" i="1"/>
  <c r="U380" i="1"/>
  <c r="V372" i="1"/>
  <c r="U372" i="1"/>
  <c r="V374" i="1"/>
  <c r="U374" i="1"/>
  <c r="U379" i="1"/>
  <c r="V379" i="1"/>
  <c r="V376" i="1"/>
  <c r="U376" i="1"/>
  <c r="AS484" i="1"/>
  <c r="S484" i="1" s="1"/>
  <c r="AR484" i="1"/>
  <c r="R484" i="1" s="1"/>
  <c r="T484" i="1" l="1"/>
  <c r="N484" i="1" s="1"/>
  <c r="AP484" i="1" l="1"/>
  <c r="U484" i="1"/>
  <c r="Q87" i="10"/>
  <c r="AS476" i="1" l="1"/>
  <c r="AS792" i="1"/>
  <c r="AS791" i="1"/>
  <c r="AS789" i="1"/>
  <c r="AS788" i="1"/>
  <c r="AS787" i="1"/>
  <c r="AS786" i="1"/>
  <c r="AR780" i="1"/>
  <c r="AR781" i="1"/>
  <c r="AR782" i="1"/>
  <c r="R782" i="1" s="1"/>
  <c r="AR783" i="1"/>
  <c r="AR784" i="1"/>
  <c r="AR779" i="1"/>
  <c r="AS757" i="1"/>
  <c r="AS712" i="1"/>
  <c r="AS693" i="1"/>
  <c r="AS677" i="1"/>
  <c r="AS676" i="1"/>
  <c r="AS675" i="1"/>
  <c r="AS671" i="1"/>
  <c r="AS669" i="1"/>
  <c r="AS668" i="1"/>
  <c r="AS622" i="1"/>
  <c r="AS306" i="1"/>
  <c r="AS296" i="1"/>
  <c r="AS590" i="1"/>
  <c r="AS589" i="1"/>
  <c r="AS260" i="1"/>
  <c r="AS550" i="1"/>
  <c r="AS540" i="1"/>
  <c r="AS538" i="1"/>
  <c r="AS221" i="1"/>
  <c r="AS220" i="1"/>
  <c r="AS513" i="1"/>
  <c r="S513" i="1" s="1"/>
  <c r="AS795" i="1" l="1"/>
  <c r="S795" i="1" s="1"/>
  <c r="AS467" i="1"/>
  <c r="AS466" i="1"/>
  <c r="AS794" i="1"/>
  <c r="AS793" i="1"/>
  <c r="AS755" i="1"/>
  <c r="AS710" i="1"/>
  <c r="AS412" i="1"/>
  <c r="AS409" i="1"/>
  <c r="AS706" i="1"/>
  <c r="S706" i="1" s="1"/>
  <c r="AS695" i="1"/>
  <c r="AS680" i="1"/>
  <c r="AS679" i="1"/>
  <c r="S679" i="1" s="1"/>
  <c r="AS678" i="1"/>
  <c r="AS674" i="1"/>
  <c r="S674" i="1" s="1"/>
  <c r="AS673" i="1"/>
  <c r="AS672" i="1"/>
  <c r="AS667" i="1"/>
  <c r="AS665" i="1"/>
  <c r="S665" i="1" s="1"/>
  <c r="AS664" i="1"/>
  <c r="AS660" i="1"/>
  <c r="AS363" i="1"/>
  <c r="AS368" i="1"/>
  <c r="AS353" i="1"/>
  <c r="AS641" i="1"/>
  <c r="AS637" i="1"/>
  <c r="AS635" i="1"/>
  <c r="AS634" i="1"/>
  <c r="AS342" i="1"/>
  <c r="AS631" i="1"/>
  <c r="S631" i="1" s="1"/>
  <c r="AS326" i="1"/>
  <c r="AS626" i="1"/>
  <c r="AS625" i="1"/>
  <c r="AS619" i="1"/>
  <c r="AS618" i="1"/>
  <c r="AS316" i="1"/>
  <c r="AS604" i="1"/>
  <c r="AS601" i="1"/>
  <c r="AS600" i="1"/>
  <c r="AS599" i="1"/>
  <c r="AS302" i="1"/>
  <c r="AS299" i="1"/>
  <c r="AS293" i="1"/>
  <c r="AS292" i="1"/>
  <c r="AS594" i="1"/>
  <c r="AS591" i="1"/>
  <c r="AS286" i="1"/>
  <c r="AS585" i="1"/>
  <c r="AS584" i="1"/>
  <c r="AS279" i="1"/>
  <c r="AS583" i="1"/>
  <c r="AS277" i="1"/>
  <c r="AS272" i="1"/>
  <c r="AS268" i="1"/>
  <c r="AS262" i="1"/>
  <c r="AS261" i="1"/>
  <c r="AS259" i="1"/>
  <c r="AS258" i="1"/>
  <c r="AS577" i="1"/>
  <c r="AS567" i="1"/>
  <c r="AS566" i="1"/>
  <c r="S566" i="1" s="1"/>
  <c r="AS562" i="1"/>
  <c r="AS560" i="1"/>
  <c r="AS558" i="1"/>
  <c r="S558" i="1" s="1"/>
  <c r="AS557" i="1"/>
  <c r="AS555" i="1"/>
  <c r="AS554" i="1"/>
  <c r="AS548" i="1"/>
  <c r="AS543" i="1"/>
  <c r="S543" i="1" s="1"/>
  <c r="AS542" i="1"/>
  <c r="AS539" i="1"/>
  <c r="AS528" i="1"/>
  <c r="S528" i="1" s="1"/>
  <c r="AS520" i="1"/>
  <c r="AS222" i="1"/>
  <c r="AS512" i="1"/>
  <c r="AS501" i="1"/>
  <c r="AS214" i="1"/>
  <c r="AS490" i="1"/>
  <c r="AS213" i="1"/>
  <c r="AT213" i="1" s="1"/>
  <c r="AS483" i="1"/>
  <c r="AS482" i="1"/>
  <c r="AS479" i="1"/>
  <c r="AR795" i="1"/>
  <c r="AR476" i="1"/>
  <c r="AR467" i="1"/>
  <c r="AR466" i="1"/>
  <c r="AR794" i="1"/>
  <c r="AR793" i="1"/>
  <c r="AR792" i="1"/>
  <c r="AR791" i="1"/>
  <c r="AR789" i="1"/>
  <c r="AR788" i="1"/>
  <c r="AR787" i="1"/>
  <c r="AR786" i="1"/>
  <c r="AR777" i="1"/>
  <c r="R777" i="1" s="1"/>
  <c r="P777" i="1" s="1"/>
  <c r="AR776" i="1"/>
  <c r="R776" i="1" s="1"/>
  <c r="AR775" i="1"/>
  <c r="R775" i="1" s="1"/>
  <c r="AR774" i="1"/>
  <c r="AR757" i="1"/>
  <c r="AR756" i="1"/>
  <c r="AR755" i="1"/>
  <c r="AR741" i="1"/>
  <c r="AR739" i="1"/>
  <c r="AR738" i="1"/>
  <c r="AR737" i="1"/>
  <c r="AR734" i="1"/>
  <c r="AR733" i="1"/>
  <c r="AR732" i="1"/>
  <c r="AR731" i="1"/>
  <c r="AR729" i="1"/>
  <c r="AR728" i="1"/>
  <c r="AR727" i="1"/>
  <c r="AR725" i="1"/>
  <c r="AR723" i="1"/>
  <c r="AR722" i="1"/>
  <c r="AR720" i="1"/>
  <c r="AR712" i="1"/>
  <c r="AR711" i="1"/>
  <c r="R711" i="1" s="1"/>
  <c r="AR710" i="1"/>
  <c r="AR709" i="1"/>
  <c r="AR708" i="1"/>
  <c r="R708" i="1" s="1"/>
  <c r="AR412" i="1"/>
  <c r="AR409" i="1"/>
  <c r="AR706" i="1"/>
  <c r="AR705" i="1"/>
  <c r="AR704" i="1"/>
  <c r="AR702" i="1"/>
  <c r="R702" i="1" s="1"/>
  <c r="AR700" i="1"/>
  <c r="R700" i="1" s="1"/>
  <c r="AR699" i="1"/>
  <c r="R699" i="1" s="1"/>
  <c r="AR698" i="1"/>
  <c r="R698" i="1" s="1"/>
  <c r="AR697" i="1"/>
  <c r="R697" i="1" s="1"/>
  <c r="AR696" i="1"/>
  <c r="R696" i="1" s="1"/>
  <c r="P696" i="1" s="1"/>
  <c r="AR695" i="1"/>
  <c r="AR694" i="1"/>
  <c r="AR693" i="1"/>
  <c r="AR680" i="1"/>
  <c r="AR679" i="1"/>
  <c r="AR678" i="1"/>
  <c r="AR677" i="1"/>
  <c r="AR676" i="1"/>
  <c r="AR675" i="1"/>
  <c r="AR674" i="1"/>
  <c r="AR673" i="1"/>
  <c r="AR672" i="1"/>
  <c r="AR671" i="1"/>
  <c r="AR669" i="1"/>
  <c r="AR668" i="1"/>
  <c r="AR667" i="1"/>
  <c r="AR666" i="1"/>
  <c r="AR665" i="1"/>
  <c r="AR664" i="1"/>
  <c r="AR371" i="1"/>
  <c r="AR370" i="1"/>
  <c r="AR660" i="1"/>
  <c r="AR363" i="1"/>
  <c r="AR658" i="1"/>
  <c r="AR657" i="1"/>
  <c r="AR368" i="1"/>
  <c r="AR649" i="1"/>
  <c r="AR646" i="1"/>
  <c r="R646" i="1" s="1"/>
  <c r="AR353" i="1"/>
  <c r="AR642" i="1"/>
  <c r="R642" i="1" s="1"/>
  <c r="AR641" i="1"/>
  <c r="AR640" i="1"/>
  <c r="AR639" i="1"/>
  <c r="R639" i="1" s="1"/>
  <c r="AR638" i="1"/>
  <c r="R638" i="1" s="1"/>
  <c r="AR637" i="1"/>
  <c r="AR635" i="1"/>
  <c r="AR634" i="1"/>
  <c r="AR633" i="1"/>
  <c r="AR342" i="1"/>
  <c r="AR631" i="1"/>
  <c r="AR630" i="1"/>
  <c r="AR629" i="1"/>
  <c r="R629" i="1" s="1"/>
  <c r="AR326" i="1"/>
  <c r="AR627" i="1"/>
  <c r="AR626" i="1"/>
  <c r="AR619" i="1"/>
  <c r="AR618" i="1"/>
  <c r="AR617" i="1"/>
  <c r="R617" i="1" s="1"/>
  <c r="AR316" i="1"/>
  <c r="AR306" i="1"/>
  <c r="AR604" i="1"/>
  <c r="AR601" i="1"/>
  <c r="AR600" i="1"/>
  <c r="AR599" i="1"/>
  <c r="AR302" i="1"/>
  <c r="AR300" i="1"/>
  <c r="AR299" i="1"/>
  <c r="AR296" i="1"/>
  <c r="AR596" i="1"/>
  <c r="AR293" i="1"/>
  <c r="AR292" i="1"/>
  <c r="AR595" i="1"/>
  <c r="AR594" i="1"/>
  <c r="AR593" i="1"/>
  <c r="AR592" i="1"/>
  <c r="R592" i="1" s="1"/>
  <c r="AR591" i="1"/>
  <c r="AR590" i="1"/>
  <c r="AR589" i="1"/>
  <c r="AR286" i="1"/>
  <c r="AR586" i="1"/>
  <c r="R586" i="1" s="1"/>
  <c r="AR585" i="1"/>
  <c r="AR584" i="1"/>
  <c r="AR279" i="1"/>
  <c r="AR583" i="1"/>
  <c r="AR277" i="1"/>
  <c r="AR272" i="1"/>
  <c r="AR268" i="1"/>
  <c r="AR579" i="1"/>
  <c r="R579" i="1" s="1"/>
  <c r="AR262" i="1"/>
  <c r="AR261" i="1"/>
  <c r="AR260" i="1"/>
  <c r="AR259" i="1"/>
  <c r="AR258" i="1"/>
  <c r="AR577" i="1"/>
  <c r="AR567" i="1"/>
  <c r="AR566" i="1"/>
  <c r="AR562" i="1"/>
  <c r="AR561" i="1"/>
  <c r="R561" i="1" s="1"/>
  <c r="AR560" i="1"/>
  <c r="AR558" i="1"/>
  <c r="AR557" i="1"/>
  <c r="AR556" i="1"/>
  <c r="R556" i="1" s="1"/>
  <c r="AR555" i="1"/>
  <c r="AR554" i="1"/>
  <c r="AR232" i="1"/>
  <c r="AR550" i="1"/>
  <c r="AR548" i="1"/>
  <c r="AR543" i="1"/>
  <c r="AR542" i="1"/>
  <c r="AR540" i="1"/>
  <c r="AR539" i="1"/>
  <c r="AR538" i="1"/>
  <c r="AR536" i="1"/>
  <c r="AR531" i="1"/>
  <c r="AR528" i="1"/>
  <c r="AR520" i="1"/>
  <c r="AR517" i="1"/>
  <c r="AR222" i="1"/>
  <c r="AR221" i="1"/>
  <c r="AR220" i="1"/>
  <c r="AR513" i="1"/>
  <c r="AR512" i="1"/>
  <c r="AR501" i="1"/>
  <c r="AR214" i="1"/>
  <c r="AR490" i="1"/>
  <c r="AR489" i="1"/>
  <c r="R489" i="1" s="1"/>
  <c r="AR488" i="1"/>
  <c r="AR213" i="1"/>
  <c r="AR483" i="1"/>
  <c r="AR482" i="1"/>
  <c r="AR479" i="1"/>
  <c r="AS438" i="1"/>
  <c r="AS754" i="1"/>
  <c r="AS230" i="1"/>
  <c r="AS535" i="1"/>
  <c r="AS233" i="1"/>
  <c r="AS570" i="1"/>
  <c r="AS605" i="1"/>
  <c r="AS753" i="1"/>
  <c r="AS751" i="1"/>
  <c r="AS748" i="1"/>
  <c r="AS747" i="1"/>
  <c r="AS745" i="1"/>
  <c r="AS726" i="1"/>
  <c r="AS718" i="1"/>
  <c r="AS714" i="1"/>
  <c r="AS648" i="1"/>
  <c r="AS636" i="1"/>
  <c r="AS319" i="1"/>
  <c r="AS620" i="1"/>
  <c r="AS610" i="1"/>
  <c r="AS609" i="1"/>
  <c r="AS608" i="1"/>
  <c r="AS607" i="1"/>
  <c r="AS598" i="1"/>
  <c r="AS264" i="1"/>
  <c r="AS578" i="1"/>
  <c r="AS263" i="1"/>
  <c r="AS576" i="1"/>
  <c r="AS574" i="1"/>
  <c r="AS572" i="1"/>
  <c r="AS571" i="1"/>
  <c r="AS246" i="1"/>
  <c r="AS245" i="1"/>
  <c r="AS243" i="1"/>
  <c r="AS559" i="1"/>
  <c r="S559" i="1" s="1"/>
  <c r="AS236" i="1"/>
  <c r="AS553" i="1"/>
  <c r="AS532" i="1"/>
  <c r="AS530" i="1"/>
  <c r="AS529" i="1"/>
  <c r="AS522" i="1"/>
  <c r="AS521" i="1"/>
  <c r="AS224" i="1"/>
  <c r="AS223" i="1"/>
  <c r="AS518" i="1"/>
  <c r="AS516" i="1"/>
  <c r="AS510" i="1"/>
  <c r="AS508" i="1"/>
  <c r="AS506" i="1"/>
  <c r="AS505" i="1"/>
  <c r="AS219" i="1"/>
  <c r="AS504" i="1"/>
  <c r="AS503" i="1"/>
  <c r="AS480" i="1"/>
  <c r="AS208" i="1"/>
  <c r="AS207" i="1"/>
  <c r="AR753" i="1"/>
  <c r="AR752" i="1"/>
  <c r="AR751" i="1"/>
  <c r="AR748" i="1"/>
  <c r="AR747" i="1"/>
  <c r="AR745" i="1"/>
  <c r="AR730" i="1"/>
  <c r="AR726" i="1"/>
  <c r="AR718" i="1"/>
  <c r="AR716" i="1"/>
  <c r="AR715" i="1"/>
  <c r="AR714" i="1"/>
  <c r="AR713" i="1"/>
  <c r="AR659" i="1"/>
  <c r="AR656" i="1"/>
  <c r="AR655" i="1"/>
  <c r="AR636" i="1"/>
  <c r="AR319" i="1"/>
  <c r="AR620" i="1"/>
  <c r="AR610" i="1"/>
  <c r="AR609" i="1"/>
  <c r="AR608" i="1"/>
  <c r="AR607" i="1"/>
  <c r="AR606" i="1"/>
  <c r="AR605" i="1"/>
  <c r="AR598" i="1"/>
  <c r="AR264" i="1"/>
  <c r="AR578" i="1"/>
  <c r="AR263" i="1"/>
  <c r="AR576" i="1"/>
  <c r="AR574" i="1"/>
  <c r="AR572" i="1"/>
  <c r="AR571" i="1"/>
  <c r="AR570" i="1"/>
  <c r="AR246" i="1"/>
  <c r="AR245" i="1"/>
  <c r="AR243" i="1"/>
  <c r="AR559" i="1"/>
  <c r="AR236" i="1"/>
  <c r="AR233" i="1"/>
  <c r="AR553" i="1"/>
  <c r="AR537" i="1"/>
  <c r="AR535" i="1"/>
  <c r="AR534" i="1"/>
  <c r="AR230" i="1"/>
  <c r="AR532" i="1"/>
  <c r="AR530" i="1"/>
  <c r="AR529" i="1"/>
  <c r="AR522" i="1"/>
  <c r="AR521" i="1"/>
  <c r="AR224" i="1"/>
  <c r="AR223" i="1"/>
  <c r="AR518" i="1"/>
  <c r="AR516" i="1"/>
  <c r="AR510" i="1"/>
  <c r="AR508" i="1"/>
  <c r="AR506" i="1"/>
  <c r="AR505" i="1"/>
  <c r="AR219" i="1"/>
  <c r="AR504" i="1"/>
  <c r="AR503" i="1"/>
  <c r="AR499" i="1"/>
  <c r="AR497" i="1"/>
  <c r="AR480" i="1"/>
  <c r="AR208" i="1"/>
  <c r="AR207" i="1"/>
  <c r="AS478" i="1"/>
  <c r="AR478" i="1"/>
  <c r="AQ792" i="1"/>
  <c r="AQ791" i="1"/>
  <c r="AQ789" i="1"/>
  <c r="AQ788" i="1"/>
  <c r="AQ787" i="1"/>
  <c r="AQ786" i="1"/>
  <c r="AQ757" i="1"/>
  <c r="AQ712" i="1"/>
  <c r="AQ693" i="1"/>
  <c r="AQ677" i="1"/>
  <c r="AQ676" i="1"/>
  <c r="AQ675" i="1"/>
  <c r="AQ671" i="1"/>
  <c r="AQ669" i="1"/>
  <c r="AQ668" i="1"/>
  <c r="AQ659" i="1"/>
  <c r="AQ656" i="1"/>
  <c r="AQ655" i="1"/>
  <c r="R788" i="1" l="1"/>
  <c r="R787" i="1"/>
  <c r="AQ326" i="1"/>
  <c r="AQ626" i="1"/>
  <c r="AQ625" i="1"/>
  <c r="AQ622" i="1"/>
  <c r="AQ619" i="1"/>
  <c r="AQ605" i="1"/>
  <c r="AQ590" i="1"/>
  <c r="AQ589" i="1"/>
  <c r="AQ262" i="1" l="1"/>
  <c r="AQ233" i="1" l="1"/>
  <c r="AQ550" i="1"/>
  <c r="AQ540" i="1"/>
  <c r="AQ538" i="1"/>
  <c r="AQ536" i="1"/>
  <c r="AQ535" i="1"/>
  <c r="AQ230" i="1"/>
  <c r="AQ221" i="1"/>
  <c r="R221" i="1" s="1"/>
  <c r="AQ513" i="1"/>
  <c r="AQ488" i="1"/>
  <c r="AQ213" i="1"/>
  <c r="AQ480" i="1"/>
  <c r="AQ208" i="1"/>
  <c r="AQ207" i="1"/>
  <c r="P17" i="13" l="1"/>
  <c r="E388" i="14" l="1"/>
  <c r="R393" i="13" s="1"/>
  <c r="E389" i="14"/>
  <c r="R394" i="13" s="1"/>
  <c r="E390" i="14"/>
  <c r="R395" i="13" s="1"/>
  <c r="E391" i="14"/>
  <c r="R396" i="13" s="1"/>
  <c r="E392" i="14"/>
  <c r="R397" i="13" s="1"/>
  <c r="E393" i="14"/>
  <c r="R398" i="13" s="1"/>
  <c r="E394" i="14"/>
  <c r="R399" i="13" s="1"/>
  <c r="P305" i="1" l="1"/>
  <c r="F23" i="10" l="1"/>
  <c r="G26" i="10"/>
  <c r="G23" i="10" s="1"/>
  <c r="H26" i="10"/>
  <c r="H23" i="10" s="1"/>
  <c r="I26" i="10"/>
  <c r="I23" i="10" s="1"/>
  <c r="K26" i="10"/>
  <c r="K23" i="10" s="1"/>
  <c r="L26" i="10"/>
  <c r="L23" i="10" s="1"/>
  <c r="M26" i="10"/>
  <c r="M23" i="10" s="1"/>
  <c r="N26" i="10"/>
  <c r="N23" i="10" s="1"/>
  <c r="O26" i="10"/>
  <c r="O23" i="10" s="1"/>
  <c r="T26" i="10"/>
  <c r="T23" i="10" s="1"/>
  <c r="Q17" i="1"/>
  <c r="Q14" i="1" s="1"/>
  <c r="AS355" i="1" l="1"/>
  <c r="AR355" i="1"/>
  <c r="Z355" i="1"/>
  <c r="X355" i="1"/>
  <c r="E364" i="10"/>
  <c r="AT355" i="1" l="1"/>
  <c r="T355" i="1"/>
  <c r="N355" i="1" s="1"/>
  <c r="V355" i="1" l="1"/>
  <c r="AP355" i="1"/>
  <c r="U355" i="1"/>
  <c r="S301" i="10" l="1"/>
  <c r="E301" i="10" s="1"/>
  <c r="S74" i="10"/>
  <c r="S70" i="10"/>
  <c r="E421" i="14" l="1"/>
  <c r="R426" i="13" s="1"/>
  <c r="N426" i="13" s="1"/>
  <c r="E219" i="14"/>
  <c r="R224" i="13" s="1"/>
  <c r="N224" i="13" s="1"/>
  <c r="S473" i="10"/>
  <c r="S397" i="14"/>
  <c r="S396" i="14"/>
  <c r="S395" i="14"/>
  <c r="S387" i="14"/>
  <c r="S330" i="14"/>
  <c r="S181" i="14"/>
  <c r="S325" i="10"/>
  <c r="E325" i="10" s="1"/>
  <c r="T316" i="1" s="1"/>
  <c r="S307" i="10"/>
  <c r="S83" i="10"/>
  <c r="S26" i="10" s="1"/>
  <c r="S23" i="10" s="1"/>
  <c r="S286" i="10"/>
  <c r="E286" i="10" s="1"/>
  <c r="S267" i="10"/>
  <c r="S215" i="10" s="1"/>
  <c r="S137" i="14"/>
  <c r="E182" i="14"/>
  <c r="R187" i="13" s="1"/>
  <c r="N187" i="13" s="1"/>
  <c r="E124" i="14"/>
  <c r="R129" i="13" s="1"/>
  <c r="E267" i="10" l="1"/>
  <c r="S486" i="10"/>
  <c r="AZ187" i="13"/>
  <c r="U187" i="13"/>
  <c r="V187" i="13"/>
  <c r="AZ224" i="13"/>
  <c r="U224" i="13"/>
  <c r="V224" i="13"/>
  <c r="AZ426" i="13"/>
  <c r="U426" i="13"/>
  <c r="V426" i="13"/>
  <c r="AS229" i="1"/>
  <c r="AR229" i="1"/>
  <c r="AQ229" i="1"/>
  <c r="Z229" i="1"/>
  <c r="X229" i="1"/>
  <c r="P229" i="1"/>
  <c r="E238" i="10"/>
  <c r="E420" i="14" l="1"/>
  <c r="R425" i="13" s="1"/>
  <c r="N425" i="13" s="1"/>
  <c r="E399" i="14"/>
  <c r="R404" i="13" s="1"/>
  <c r="N404" i="13" s="1"/>
  <c r="E220" i="14"/>
  <c r="R225" i="13" s="1"/>
  <c r="N225" i="13" s="1"/>
  <c r="E412" i="14"/>
  <c r="R417" i="13" s="1"/>
  <c r="N417" i="13" s="1"/>
  <c r="AZ225" i="13" l="1"/>
  <c r="U225" i="13"/>
  <c r="V225" i="13"/>
  <c r="AZ404" i="13"/>
  <c r="U404" i="13"/>
  <c r="V404" i="13"/>
  <c r="AZ417" i="13"/>
  <c r="U417" i="13"/>
  <c r="V417" i="13"/>
  <c r="AZ425" i="13"/>
  <c r="U425" i="13"/>
  <c r="V425" i="13"/>
  <c r="R418" i="14"/>
  <c r="R416" i="14"/>
  <c r="E227" i="14"/>
  <c r="R232" i="13" s="1"/>
  <c r="N232" i="13" s="1"/>
  <c r="R233" i="13"/>
  <c r="N233" i="13" s="1"/>
  <c r="E229" i="14"/>
  <c r="R234" i="13" s="1"/>
  <c r="N234" i="13" s="1"/>
  <c r="E170" i="14"/>
  <c r="E169" i="14"/>
  <c r="E168" i="14"/>
  <c r="E167" i="14"/>
  <c r="E166" i="14"/>
  <c r="E164" i="14"/>
  <c r="R169" i="13" s="1"/>
  <c r="N169" i="13" s="1"/>
  <c r="E155" i="14"/>
  <c r="R160" i="13" s="1"/>
  <c r="N160" i="13" s="1"/>
  <c r="R171" i="13" l="1"/>
  <c r="N171" i="13" s="1"/>
  <c r="AZ160" i="13"/>
  <c r="U160" i="13"/>
  <c r="V160" i="13"/>
  <c r="R173" i="13"/>
  <c r="N173" i="13" s="1"/>
  <c r="AZ173" i="13" s="1"/>
  <c r="AZ169" i="13"/>
  <c r="U169" i="13"/>
  <c r="V169" i="13"/>
  <c r="R174" i="13"/>
  <c r="N174" i="13" s="1"/>
  <c r="AZ232" i="13"/>
  <c r="U232" i="13"/>
  <c r="V232" i="13"/>
  <c r="R175" i="13"/>
  <c r="N175" i="13" s="1"/>
  <c r="AZ233" i="13"/>
  <c r="U233" i="13"/>
  <c r="V233" i="13"/>
  <c r="R172" i="13"/>
  <c r="N172" i="13" s="1"/>
  <c r="AZ234" i="13"/>
  <c r="U234" i="13"/>
  <c r="V234" i="13"/>
  <c r="E154" i="14"/>
  <c r="R159" i="13" s="1"/>
  <c r="N159" i="13" s="1"/>
  <c r="AZ174" i="13" l="1"/>
  <c r="U174" i="13"/>
  <c r="V174" i="13"/>
  <c r="AZ175" i="13"/>
  <c r="U175" i="13"/>
  <c r="V175" i="13"/>
  <c r="U172" i="13"/>
  <c r="V172" i="13"/>
  <c r="AZ172" i="13"/>
  <c r="U173" i="13"/>
  <c r="V173" i="13"/>
  <c r="U171" i="13"/>
  <c r="V171" i="13"/>
  <c r="AZ159" i="13"/>
  <c r="U159" i="13"/>
  <c r="V159" i="13"/>
  <c r="AZ171" i="13"/>
  <c r="E165" i="14"/>
  <c r="R170" i="13" s="1"/>
  <c r="N170" i="13" s="1"/>
  <c r="E152" i="14"/>
  <c r="R157" i="13" s="1"/>
  <c r="N157" i="13" s="1"/>
  <c r="N139" i="13"/>
  <c r="E134" i="14"/>
  <c r="U139" i="13" l="1"/>
  <c r="V139" i="13"/>
  <c r="U157" i="13"/>
  <c r="V157" i="13"/>
  <c r="AZ157" i="13"/>
  <c r="U170" i="13"/>
  <c r="V170" i="13"/>
  <c r="AZ139" i="13"/>
  <c r="AZ170" i="13"/>
  <c r="E180" i="14"/>
  <c r="N185" i="13"/>
  <c r="E178" i="14"/>
  <c r="R183" i="13" s="1"/>
  <c r="N183" i="13" s="1"/>
  <c r="E177" i="14"/>
  <c r="R182" i="13" s="1"/>
  <c r="N182" i="13" s="1"/>
  <c r="E176" i="14"/>
  <c r="R181" i="13" s="1"/>
  <c r="N181" i="13" s="1"/>
  <c r="U185" i="13" l="1"/>
  <c r="V185" i="13"/>
  <c r="U181" i="13"/>
  <c r="V181" i="13"/>
  <c r="U182" i="13"/>
  <c r="V182" i="13"/>
  <c r="U183" i="13"/>
  <c r="V183" i="13"/>
  <c r="AZ183" i="13"/>
  <c r="AZ185" i="13"/>
  <c r="AZ182" i="13"/>
  <c r="AZ181" i="13"/>
  <c r="R784" i="1"/>
  <c r="N784" i="1" l="1"/>
  <c r="AP784" i="1" l="1"/>
  <c r="U784" i="1"/>
  <c r="Q26" i="10"/>
  <c r="Q23" i="10" s="1"/>
  <c r="R203" i="1" l="1"/>
  <c r="K206" i="1" l="1"/>
  <c r="L206" i="1"/>
  <c r="M206" i="1"/>
  <c r="J206" i="1"/>
  <c r="K14" i="1"/>
  <c r="L14" i="1"/>
  <c r="M14" i="1"/>
  <c r="J14" i="1"/>
  <c r="AS432" i="1" l="1"/>
  <c r="S432" i="1" s="1"/>
  <c r="AQ432" i="1"/>
  <c r="E424" i="14" l="1"/>
  <c r="E423" i="14"/>
  <c r="E422" i="14"/>
  <c r="E419" i="14"/>
  <c r="E418" i="14"/>
  <c r="E417" i="14"/>
  <c r="E416" i="14"/>
  <c r="E415" i="14"/>
  <c r="E414" i="14"/>
  <c r="E413" i="14"/>
  <c r="E411" i="14"/>
  <c r="E410" i="14"/>
  <c r="E409" i="14"/>
  <c r="E408" i="14"/>
  <c r="E407" i="14"/>
  <c r="E406" i="14"/>
  <c r="E405" i="14"/>
  <c r="E404" i="14"/>
  <c r="E403" i="14"/>
  <c r="E402" i="14"/>
  <c r="E401" i="14"/>
  <c r="E400" i="14"/>
  <c r="E398" i="14"/>
  <c r="E397" i="14"/>
  <c r="E396" i="14"/>
  <c r="E395" i="14"/>
  <c r="E387" i="14"/>
  <c r="E386" i="14"/>
  <c r="E385" i="14"/>
  <c r="E384" i="14"/>
  <c r="E383" i="14"/>
  <c r="E382" i="14"/>
  <c r="E381" i="14"/>
  <c r="E380" i="14"/>
  <c r="E379" i="14"/>
  <c r="E378" i="14"/>
  <c r="E377" i="14"/>
  <c r="E376" i="14"/>
  <c r="E375" i="14"/>
  <c r="E374" i="14"/>
  <c r="E373" i="14"/>
  <c r="E372" i="14"/>
  <c r="E371" i="14"/>
  <c r="E370" i="14"/>
  <c r="E369" i="14"/>
  <c r="E368" i="14"/>
  <c r="E367" i="14"/>
  <c r="E366" i="14"/>
  <c r="E365" i="14"/>
  <c r="E364" i="14"/>
  <c r="E363" i="14"/>
  <c r="E362" i="14"/>
  <c r="E361" i="14"/>
  <c r="E360" i="14"/>
  <c r="E359" i="14"/>
  <c r="E358" i="14"/>
  <c r="E357" i="14"/>
  <c r="E356" i="14"/>
  <c r="E355" i="14"/>
  <c r="E354" i="14"/>
  <c r="E353" i="14"/>
  <c r="E352" i="14"/>
  <c r="E351" i="14"/>
  <c r="E350" i="14"/>
  <c r="E349" i="14"/>
  <c r="E348" i="14"/>
  <c r="E347" i="14"/>
  <c r="E346" i="14"/>
  <c r="E345" i="14"/>
  <c r="E344" i="14"/>
  <c r="E343" i="14"/>
  <c r="E342" i="14"/>
  <c r="E341" i="14"/>
  <c r="E340" i="14"/>
  <c r="E339" i="14"/>
  <c r="E338" i="14"/>
  <c r="E337" i="14"/>
  <c r="E336" i="14"/>
  <c r="E335" i="14"/>
  <c r="E334" i="14"/>
  <c r="E333" i="14"/>
  <c r="E332" i="14"/>
  <c r="E331" i="14"/>
  <c r="E330" i="14"/>
  <c r="R335" i="13" s="1"/>
  <c r="N335" i="13" s="1"/>
  <c r="E329" i="14"/>
  <c r="E328" i="14"/>
  <c r="E327" i="14"/>
  <c r="E326" i="14"/>
  <c r="E325" i="14"/>
  <c r="E324" i="14"/>
  <c r="E323" i="14"/>
  <c r="E322" i="14"/>
  <c r="E321" i="14"/>
  <c r="E320" i="14"/>
  <c r="E319" i="14"/>
  <c r="E318" i="14"/>
  <c r="E317" i="14"/>
  <c r="E316" i="14"/>
  <c r="R321" i="13" s="1"/>
  <c r="N321" i="13" s="1"/>
  <c r="E315" i="14"/>
  <c r="E314" i="14"/>
  <c r="E3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6" i="14"/>
  <c r="E225" i="14"/>
  <c r="E224" i="14"/>
  <c r="R229" i="13" s="1"/>
  <c r="N229" i="13" s="1"/>
  <c r="E223" i="14"/>
  <c r="E222" i="14"/>
  <c r="E221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1" i="14"/>
  <c r="E179" i="14"/>
  <c r="E175" i="14"/>
  <c r="R180" i="13" s="1"/>
  <c r="E174" i="14"/>
  <c r="R179" i="13" s="1"/>
  <c r="N179" i="13" s="1"/>
  <c r="E173" i="14"/>
  <c r="R178" i="13" s="1"/>
  <c r="N178" i="13" s="1"/>
  <c r="E172" i="14"/>
  <c r="R177" i="13" s="1"/>
  <c r="N177" i="13" s="1"/>
  <c r="E171" i="14"/>
  <c r="R176" i="13" s="1"/>
  <c r="E163" i="14"/>
  <c r="R168" i="13" s="1"/>
  <c r="N168" i="13" s="1"/>
  <c r="E162" i="14"/>
  <c r="R167" i="13" s="1"/>
  <c r="N167" i="13" s="1"/>
  <c r="E161" i="14"/>
  <c r="R166" i="13" s="1"/>
  <c r="N166" i="13" s="1"/>
  <c r="E160" i="14"/>
  <c r="R165" i="13" s="1"/>
  <c r="N165" i="13" s="1"/>
  <c r="E159" i="14"/>
  <c r="R164" i="13" s="1"/>
  <c r="N164" i="13" s="1"/>
  <c r="E158" i="14"/>
  <c r="R163" i="13" s="1"/>
  <c r="N163" i="13" s="1"/>
  <c r="E157" i="14"/>
  <c r="R162" i="13" s="1"/>
  <c r="N162" i="13" s="1"/>
  <c r="E156" i="14"/>
  <c r="R161" i="13" s="1"/>
  <c r="N161" i="13" s="1"/>
  <c r="E153" i="14"/>
  <c r="R158" i="13" s="1"/>
  <c r="N158" i="13" s="1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3" i="14"/>
  <c r="E132" i="14"/>
  <c r="E131" i="14"/>
  <c r="E130" i="14"/>
  <c r="E129" i="14"/>
  <c r="E128" i="14"/>
  <c r="E127" i="14"/>
  <c r="E126" i="14"/>
  <c r="E125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B14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E13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R429" i="13"/>
  <c r="N429" i="13" s="1"/>
  <c r="R428" i="13"/>
  <c r="N428" i="13" s="1"/>
  <c r="AH427" i="13"/>
  <c r="R427" i="13"/>
  <c r="N427" i="13" s="1"/>
  <c r="AH424" i="13"/>
  <c r="Z424" i="13"/>
  <c r="R424" i="13"/>
  <c r="N424" i="13" s="1"/>
  <c r="AH423" i="13"/>
  <c r="Z423" i="13"/>
  <c r="AH422" i="13"/>
  <c r="Z422" i="13"/>
  <c r="R422" i="13"/>
  <c r="N422" i="13" s="1"/>
  <c r="AH421" i="13"/>
  <c r="Z421" i="13"/>
  <c r="AH420" i="13"/>
  <c r="Z420" i="13"/>
  <c r="R420" i="13"/>
  <c r="N420" i="13" s="1"/>
  <c r="AH419" i="13"/>
  <c r="Z419" i="13"/>
  <c r="R419" i="13"/>
  <c r="N419" i="13" s="1"/>
  <c r="AH418" i="13"/>
  <c r="Z418" i="13"/>
  <c r="R418" i="13"/>
  <c r="N418" i="13" s="1"/>
  <c r="AH416" i="13"/>
  <c r="Z416" i="13"/>
  <c r="R416" i="13"/>
  <c r="N416" i="13" s="1"/>
  <c r="AH415" i="13"/>
  <c r="Z415" i="13"/>
  <c r="R415" i="13"/>
  <c r="N415" i="13" s="1"/>
  <c r="AH414" i="13"/>
  <c r="Z414" i="13"/>
  <c r="R414" i="13"/>
  <c r="N414" i="13" s="1"/>
  <c r="AH413" i="13"/>
  <c r="Z413" i="13"/>
  <c r="R413" i="13"/>
  <c r="N413" i="13" s="1"/>
  <c r="AH412" i="13"/>
  <c r="Z412" i="13"/>
  <c r="R412" i="13"/>
  <c r="N412" i="13" s="1"/>
  <c r="AH411" i="13"/>
  <c r="Z411" i="13"/>
  <c r="R411" i="13"/>
  <c r="N411" i="13" s="1"/>
  <c r="AH410" i="13"/>
  <c r="Z410" i="13"/>
  <c r="R410" i="13"/>
  <c r="N410" i="13" s="1"/>
  <c r="AH409" i="13"/>
  <c r="Z409" i="13"/>
  <c r="R409" i="13"/>
  <c r="N409" i="13" s="1"/>
  <c r="AH408" i="13"/>
  <c r="Z408" i="13"/>
  <c r="R408" i="13"/>
  <c r="N408" i="13" s="1"/>
  <c r="AH407" i="13"/>
  <c r="Z407" i="13"/>
  <c r="R407" i="13"/>
  <c r="N407" i="13" s="1"/>
  <c r="AH406" i="13"/>
  <c r="Z406" i="13"/>
  <c r="R406" i="13"/>
  <c r="N406" i="13" s="1"/>
  <c r="AH405" i="13"/>
  <c r="Z405" i="13"/>
  <c r="R405" i="13"/>
  <c r="N405" i="13" s="1"/>
  <c r="R403" i="13"/>
  <c r="N403" i="13" s="1"/>
  <c r="AH402" i="13"/>
  <c r="R402" i="13"/>
  <c r="N402" i="13" s="1"/>
  <c r="AH401" i="13"/>
  <c r="R401" i="13"/>
  <c r="N401" i="13" s="1"/>
  <c r="AH400" i="13"/>
  <c r="R400" i="13"/>
  <c r="N400" i="13" s="1"/>
  <c r="AH399" i="13"/>
  <c r="Z399" i="13"/>
  <c r="N399" i="13"/>
  <c r="AH398" i="13"/>
  <c r="Z398" i="13"/>
  <c r="N398" i="13"/>
  <c r="AH397" i="13"/>
  <c r="Z397" i="13"/>
  <c r="N397" i="13"/>
  <c r="AH396" i="13"/>
  <c r="Z396" i="13"/>
  <c r="N396" i="13"/>
  <c r="AH395" i="13"/>
  <c r="Z395" i="13"/>
  <c r="N395" i="13"/>
  <c r="AH394" i="13"/>
  <c r="Z394" i="13"/>
  <c r="N394" i="13"/>
  <c r="AH393" i="13"/>
  <c r="Z393" i="13"/>
  <c r="N393" i="13"/>
  <c r="AH392" i="13"/>
  <c r="AH391" i="13"/>
  <c r="Z391" i="13"/>
  <c r="R391" i="13"/>
  <c r="N391" i="13" s="1"/>
  <c r="AH390" i="13"/>
  <c r="Z390" i="13"/>
  <c r="R390" i="13"/>
  <c r="N390" i="13" s="1"/>
  <c r="R389" i="13"/>
  <c r="N389" i="13" s="1"/>
  <c r="R388" i="13"/>
  <c r="N388" i="13" s="1"/>
  <c r="AH387" i="13"/>
  <c r="Z387" i="13"/>
  <c r="R387" i="13"/>
  <c r="N387" i="13" s="1"/>
  <c r="AH386" i="13"/>
  <c r="Z386" i="13"/>
  <c r="R386" i="13"/>
  <c r="N386" i="13" s="1"/>
  <c r="AH385" i="13"/>
  <c r="Z385" i="13"/>
  <c r="R385" i="13"/>
  <c r="N385" i="13" s="1"/>
  <c r="AH384" i="13"/>
  <c r="Z384" i="13"/>
  <c r="R384" i="13"/>
  <c r="N384" i="13" s="1"/>
  <c r="AH383" i="13"/>
  <c r="Z383" i="13"/>
  <c r="R383" i="13"/>
  <c r="N383" i="13" s="1"/>
  <c r="AH382" i="13"/>
  <c r="Z382" i="13"/>
  <c r="R382" i="13"/>
  <c r="N382" i="13" s="1"/>
  <c r="AH381" i="13"/>
  <c r="Z381" i="13"/>
  <c r="R381" i="13"/>
  <c r="N381" i="13" s="1"/>
  <c r="AH380" i="13"/>
  <c r="Z380" i="13"/>
  <c r="R380" i="13"/>
  <c r="N380" i="13" s="1"/>
  <c r="AH379" i="13"/>
  <c r="Z379" i="13"/>
  <c r="R379" i="13"/>
  <c r="N379" i="13" s="1"/>
  <c r="R378" i="13"/>
  <c r="N378" i="13" s="1"/>
  <c r="R377" i="13"/>
  <c r="N377" i="13" s="1"/>
  <c r="R376" i="13"/>
  <c r="N376" i="13" s="1"/>
  <c r="R375" i="13"/>
  <c r="N375" i="13" s="1"/>
  <c r="R374" i="13"/>
  <c r="N374" i="13" s="1"/>
  <c r="R373" i="13"/>
  <c r="N373" i="13" s="1"/>
  <c r="AH372" i="13"/>
  <c r="Z372" i="13"/>
  <c r="R372" i="13"/>
  <c r="N372" i="13" s="1"/>
  <c r="R371" i="13"/>
  <c r="N371" i="13" s="1"/>
  <c r="R370" i="13"/>
  <c r="N370" i="13" s="1"/>
  <c r="R369" i="13"/>
  <c r="N369" i="13" s="1"/>
  <c r="AH368" i="13"/>
  <c r="Z368" i="13"/>
  <c r="R368" i="13"/>
  <c r="N368" i="13" s="1"/>
  <c r="AH367" i="13"/>
  <c r="Z367" i="13"/>
  <c r="R367" i="13"/>
  <c r="N367" i="13" s="1"/>
  <c r="AH366" i="13"/>
  <c r="Z366" i="13"/>
  <c r="R366" i="13"/>
  <c r="N366" i="13" s="1"/>
  <c r="AH365" i="13"/>
  <c r="Z365" i="13"/>
  <c r="R365" i="13"/>
  <c r="N365" i="13" s="1"/>
  <c r="AH364" i="13"/>
  <c r="Z364" i="13"/>
  <c r="R364" i="13"/>
  <c r="N364" i="13" s="1"/>
  <c r="AH363" i="13"/>
  <c r="Z363" i="13"/>
  <c r="R363" i="13"/>
  <c r="N363" i="13" s="1"/>
  <c r="R362" i="13"/>
  <c r="N362" i="13" s="1"/>
  <c r="AH361" i="13"/>
  <c r="Z361" i="13"/>
  <c r="R361" i="13"/>
  <c r="N361" i="13" s="1"/>
  <c r="AH360" i="13"/>
  <c r="Z360" i="13"/>
  <c r="R360" i="13"/>
  <c r="N360" i="13" s="1"/>
  <c r="AH359" i="13"/>
  <c r="Z359" i="13"/>
  <c r="R359" i="13"/>
  <c r="N359" i="13" s="1"/>
  <c r="AH358" i="13"/>
  <c r="Z358" i="13"/>
  <c r="R358" i="13"/>
  <c r="N358" i="13" s="1"/>
  <c r="AH357" i="13"/>
  <c r="Z357" i="13"/>
  <c r="R357" i="13"/>
  <c r="N357" i="13" s="1"/>
  <c r="AH356" i="13"/>
  <c r="Z356" i="13"/>
  <c r="R356" i="13"/>
  <c r="N356" i="13" s="1"/>
  <c r="AH355" i="13"/>
  <c r="Z355" i="13"/>
  <c r="R355" i="13"/>
  <c r="N355" i="13" s="1"/>
  <c r="AH354" i="13"/>
  <c r="Z354" i="13"/>
  <c r="R354" i="13"/>
  <c r="N354" i="13" s="1"/>
  <c r="AH353" i="13"/>
  <c r="Z353" i="13"/>
  <c r="R353" i="13"/>
  <c r="N353" i="13" s="1"/>
  <c r="AH352" i="13"/>
  <c r="Z352" i="13"/>
  <c r="R352" i="13"/>
  <c r="N352" i="13" s="1"/>
  <c r="AH351" i="13"/>
  <c r="Z351" i="13"/>
  <c r="R351" i="13"/>
  <c r="N351" i="13" s="1"/>
  <c r="AH350" i="13"/>
  <c r="Z350" i="13"/>
  <c r="R350" i="13"/>
  <c r="N350" i="13" s="1"/>
  <c r="AH349" i="13"/>
  <c r="Z349" i="13"/>
  <c r="R349" i="13"/>
  <c r="N349" i="13" s="1"/>
  <c r="AH348" i="13"/>
  <c r="Z348" i="13"/>
  <c r="R348" i="13"/>
  <c r="N348" i="13" s="1"/>
  <c r="AH347" i="13"/>
  <c r="Z347" i="13"/>
  <c r="R347" i="13"/>
  <c r="N347" i="13" s="1"/>
  <c r="AH346" i="13"/>
  <c r="Z346" i="13"/>
  <c r="R346" i="13"/>
  <c r="N346" i="13" s="1"/>
  <c r="AH345" i="13"/>
  <c r="Z345" i="13"/>
  <c r="R345" i="13"/>
  <c r="N345" i="13" s="1"/>
  <c r="AH344" i="13"/>
  <c r="Z344" i="13"/>
  <c r="R344" i="13"/>
  <c r="N344" i="13" s="1"/>
  <c r="AH343" i="13"/>
  <c r="Z343" i="13"/>
  <c r="R343" i="13"/>
  <c r="N343" i="13" s="1"/>
  <c r="AH342" i="13"/>
  <c r="Z342" i="13"/>
  <c r="R342" i="13"/>
  <c r="N342" i="13" s="1"/>
  <c r="AH341" i="13"/>
  <c r="Z341" i="13"/>
  <c r="R341" i="13"/>
  <c r="N341" i="13" s="1"/>
  <c r="AH340" i="13"/>
  <c r="Z340" i="13"/>
  <c r="R340" i="13"/>
  <c r="N340" i="13" s="1"/>
  <c r="AH339" i="13"/>
  <c r="Z339" i="13"/>
  <c r="R339" i="13"/>
  <c r="N339" i="13" s="1"/>
  <c r="AH338" i="13"/>
  <c r="Z338" i="13"/>
  <c r="R338" i="13"/>
  <c r="N338" i="13" s="1"/>
  <c r="AH337" i="13"/>
  <c r="Z337" i="13"/>
  <c r="R337" i="13"/>
  <c r="N337" i="13" s="1"/>
  <c r="AH336" i="13"/>
  <c r="Z336" i="13"/>
  <c r="R336" i="13"/>
  <c r="N336" i="13" s="1"/>
  <c r="AH334" i="13"/>
  <c r="Z334" i="13"/>
  <c r="R334" i="13"/>
  <c r="N334" i="13" s="1"/>
  <c r="AH333" i="13"/>
  <c r="Z333" i="13"/>
  <c r="R333" i="13"/>
  <c r="N333" i="13" s="1"/>
  <c r="AH332" i="13"/>
  <c r="Z332" i="13"/>
  <c r="R332" i="13"/>
  <c r="N332" i="13" s="1"/>
  <c r="AH331" i="13"/>
  <c r="Z331" i="13"/>
  <c r="R331" i="13"/>
  <c r="N331" i="13" s="1"/>
  <c r="AH330" i="13"/>
  <c r="Z330" i="13"/>
  <c r="R330" i="13"/>
  <c r="N330" i="13" s="1"/>
  <c r="AH329" i="13"/>
  <c r="Z329" i="13"/>
  <c r="R329" i="13"/>
  <c r="N329" i="13" s="1"/>
  <c r="AH328" i="13"/>
  <c r="Z328" i="13"/>
  <c r="R328" i="13"/>
  <c r="N328" i="13" s="1"/>
  <c r="AH327" i="13"/>
  <c r="Z327" i="13"/>
  <c r="R327" i="13"/>
  <c r="N327" i="13" s="1"/>
  <c r="AH326" i="13"/>
  <c r="Z326" i="13"/>
  <c r="R326" i="13"/>
  <c r="N326" i="13" s="1"/>
  <c r="AH325" i="13"/>
  <c r="Z325" i="13"/>
  <c r="R325" i="13"/>
  <c r="N325" i="13" s="1"/>
  <c r="R324" i="13"/>
  <c r="N324" i="13" s="1"/>
  <c r="R323" i="13"/>
  <c r="N323" i="13" s="1"/>
  <c r="R322" i="13"/>
  <c r="N322" i="13" s="1"/>
  <c r="AH321" i="13"/>
  <c r="Z321" i="13"/>
  <c r="AH320" i="13"/>
  <c r="Z320" i="13"/>
  <c r="R320" i="13"/>
  <c r="N320" i="13" s="1"/>
  <c r="AH319" i="13"/>
  <c r="Z319" i="13"/>
  <c r="R319" i="13"/>
  <c r="N319" i="13" s="1"/>
  <c r="AH318" i="13"/>
  <c r="Z318" i="13"/>
  <c r="R318" i="13"/>
  <c r="N318" i="13" s="1"/>
  <c r="AH317" i="13"/>
  <c r="Z317" i="13"/>
  <c r="R317" i="13"/>
  <c r="N317" i="13" s="1"/>
  <c r="AH316" i="13"/>
  <c r="Z316" i="13"/>
  <c r="R316" i="13"/>
  <c r="N316" i="13" s="1"/>
  <c r="AH315" i="13"/>
  <c r="Z315" i="13"/>
  <c r="R315" i="13"/>
  <c r="N315" i="13" s="1"/>
  <c r="AH314" i="13"/>
  <c r="Z314" i="13"/>
  <c r="R314" i="13"/>
  <c r="N314" i="13" s="1"/>
  <c r="AH313" i="13"/>
  <c r="Z313" i="13"/>
  <c r="R313" i="13"/>
  <c r="N313" i="13" s="1"/>
  <c r="AH312" i="13"/>
  <c r="Z312" i="13"/>
  <c r="R312" i="13"/>
  <c r="N312" i="13" s="1"/>
  <c r="AH311" i="13"/>
  <c r="Z311" i="13"/>
  <c r="R311" i="13"/>
  <c r="N311" i="13" s="1"/>
  <c r="AH310" i="13"/>
  <c r="Z310" i="13"/>
  <c r="R310" i="13"/>
  <c r="N310" i="13" s="1"/>
  <c r="AH309" i="13"/>
  <c r="Z309" i="13"/>
  <c r="R309" i="13"/>
  <c r="N309" i="13" s="1"/>
  <c r="AH308" i="13"/>
  <c r="Z308" i="13"/>
  <c r="R308" i="13"/>
  <c r="N308" i="13" s="1"/>
  <c r="AH307" i="13"/>
  <c r="Z307" i="13"/>
  <c r="R307" i="13"/>
  <c r="N307" i="13" s="1"/>
  <c r="AH306" i="13"/>
  <c r="Z306" i="13"/>
  <c r="R306" i="13"/>
  <c r="N306" i="13" s="1"/>
  <c r="AH305" i="13"/>
  <c r="Z305" i="13"/>
  <c r="R305" i="13"/>
  <c r="N305" i="13" s="1"/>
  <c r="AH304" i="13"/>
  <c r="Z304" i="13"/>
  <c r="R304" i="13"/>
  <c r="N304" i="13" s="1"/>
  <c r="AH303" i="13"/>
  <c r="Z303" i="13"/>
  <c r="R303" i="13"/>
  <c r="N303" i="13" s="1"/>
  <c r="AH302" i="13"/>
  <c r="Z302" i="13"/>
  <c r="R302" i="13"/>
  <c r="N302" i="13" s="1"/>
  <c r="AH301" i="13"/>
  <c r="R301" i="13"/>
  <c r="N301" i="13" s="1"/>
  <c r="AH300" i="13"/>
  <c r="Z300" i="13"/>
  <c r="R300" i="13"/>
  <c r="N300" i="13" s="1"/>
  <c r="AH299" i="13"/>
  <c r="Z299" i="13"/>
  <c r="R299" i="13"/>
  <c r="N299" i="13" s="1"/>
  <c r="AH298" i="13"/>
  <c r="Z298" i="13"/>
  <c r="R298" i="13"/>
  <c r="N298" i="13" s="1"/>
  <c r="AH297" i="13"/>
  <c r="Z297" i="13"/>
  <c r="R297" i="13"/>
  <c r="N297" i="13" s="1"/>
  <c r="AH296" i="13"/>
  <c r="Z296" i="13"/>
  <c r="R296" i="13"/>
  <c r="N296" i="13" s="1"/>
  <c r="AH295" i="13"/>
  <c r="Z295" i="13"/>
  <c r="R295" i="13"/>
  <c r="N295" i="13" s="1"/>
  <c r="AH294" i="13"/>
  <c r="Z294" i="13"/>
  <c r="R294" i="13"/>
  <c r="N294" i="13" s="1"/>
  <c r="AH293" i="13"/>
  <c r="Z293" i="13"/>
  <c r="R293" i="13"/>
  <c r="N293" i="13" s="1"/>
  <c r="AH292" i="13"/>
  <c r="Z292" i="13"/>
  <c r="R292" i="13"/>
  <c r="N292" i="13" s="1"/>
  <c r="AH291" i="13"/>
  <c r="Z291" i="13"/>
  <c r="R291" i="13"/>
  <c r="N291" i="13" s="1"/>
  <c r="AH290" i="13"/>
  <c r="Z290" i="13"/>
  <c r="R290" i="13"/>
  <c r="N290" i="13" s="1"/>
  <c r="AH289" i="13"/>
  <c r="Z289" i="13"/>
  <c r="R289" i="13"/>
  <c r="N289" i="13" s="1"/>
  <c r="AH288" i="13"/>
  <c r="Z288" i="13"/>
  <c r="R288" i="13"/>
  <c r="N288" i="13" s="1"/>
  <c r="AH287" i="13"/>
  <c r="Z287" i="13"/>
  <c r="R287" i="13"/>
  <c r="N287" i="13" s="1"/>
  <c r="AH286" i="13"/>
  <c r="R286" i="13"/>
  <c r="N286" i="13" s="1"/>
  <c r="AH285" i="13"/>
  <c r="R285" i="13"/>
  <c r="N285" i="13" s="1"/>
  <c r="AH284" i="13"/>
  <c r="Z284" i="13"/>
  <c r="R284" i="13"/>
  <c r="N284" i="13" s="1"/>
  <c r="AH283" i="13"/>
  <c r="Z283" i="13"/>
  <c r="R283" i="13"/>
  <c r="N283" i="13" s="1"/>
  <c r="AH282" i="13"/>
  <c r="Z282" i="13"/>
  <c r="R282" i="13"/>
  <c r="N282" i="13" s="1"/>
  <c r="AH281" i="13"/>
  <c r="Z281" i="13"/>
  <c r="R281" i="13"/>
  <c r="N281" i="13" s="1"/>
  <c r="AH280" i="13"/>
  <c r="Z280" i="13"/>
  <c r="R280" i="13"/>
  <c r="N280" i="13" s="1"/>
  <c r="AH279" i="13"/>
  <c r="Z279" i="13"/>
  <c r="R279" i="13"/>
  <c r="N279" i="13" s="1"/>
  <c r="AH278" i="13"/>
  <c r="Z278" i="13"/>
  <c r="R278" i="13"/>
  <c r="N278" i="13" s="1"/>
  <c r="AH277" i="13"/>
  <c r="Z277" i="13"/>
  <c r="R277" i="13"/>
  <c r="N277" i="13" s="1"/>
  <c r="AH276" i="13"/>
  <c r="Z276" i="13"/>
  <c r="R276" i="13"/>
  <c r="N276" i="13" s="1"/>
  <c r="AH275" i="13"/>
  <c r="Z275" i="13"/>
  <c r="R275" i="13"/>
  <c r="N275" i="13" s="1"/>
  <c r="AH274" i="13"/>
  <c r="R274" i="13"/>
  <c r="N274" i="13" s="1"/>
  <c r="AH273" i="13"/>
  <c r="Z273" i="13"/>
  <c r="R273" i="13"/>
  <c r="N273" i="13" s="1"/>
  <c r="AH272" i="13"/>
  <c r="Z272" i="13"/>
  <c r="R272" i="13"/>
  <c r="N272" i="13" s="1"/>
  <c r="AH271" i="13"/>
  <c r="Z271" i="13"/>
  <c r="R271" i="13"/>
  <c r="N271" i="13" s="1"/>
  <c r="AH270" i="13"/>
  <c r="Z270" i="13"/>
  <c r="R270" i="13"/>
  <c r="N270" i="13" s="1"/>
  <c r="AH269" i="13"/>
  <c r="Z269" i="13"/>
  <c r="R269" i="13"/>
  <c r="N269" i="13" s="1"/>
  <c r="AH268" i="13"/>
  <c r="Z268" i="13"/>
  <c r="R268" i="13"/>
  <c r="N268" i="13" s="1"/>
  <c r="AH267" i="13"/>
  <c r="Z267" i="13"/>
  <c r="R267" i="13"/>
  <c r="N267" i="13" s="1"/>
  <c r="AH266" i="13"/>
  <c r="Z266" i="13"/>
  <c r="R266" i="13"/>
  <c r="N266" i="13" s="1"/>
  <c r="AH265" i="13"/>
  <c r="Z265" i="13"/>
  <c r="R265" i="13"/>
  <c r="N265" i="13" s="1"/>
  <c r="AH264" i="13"/>
  <c r="Z264" i="13"/>
  <c r="R264" i="13"/>
  <c r="N264" i="13" s="1"/>
  <c r="AH263" i="13"/>
  <c r="Z263" i="13"/>
  <c r="R263" i="13"/>
  <c r="N263" i="13" s="1"/>
  <c r="AH262" i="13"/>
  <c r="Z262" i="13"/>
  <c r="R262" i="13"/>
  <c r="N262" i="13" s="1"/>
  <c r="AH261" i="13"/>
  <c r="Z261" i="13"/>
  <c r="R261" i="13"/>
  <c r="N261" i="13" s="1"/>
  <c r="AH260" i="13"/>
  <c r="Z260" i="13"/>
  <c r="R260" i="13"/>
  <c r="N260" i="13" s="1"/>
  <c r="AH259" i="13"/>
  <c r="Z259" i="13"/>
  <c r="R259" i="13"/>
  <c r="N259" i="13" s="1"/>
  <c r="AH258" i="13"/>
  <c r="Z258" i="13"/>
  <c r="R258" i="13"/>
  <c r="N258" i="13" s="1"/>
  <c r="AH257" i="13"/>
  <c r="Z257" i="13"/>
  <c r="R257" i="13"/>
  <c r="N257" i="13" s="1"/>
  <c r="AH256" i="13"/>
  <c r="Z256" i="13"/>
  <c r="R256" i="13"/>
  <c r="N256" i="13" s="1"/>
  <c r="AH255" i="13"/>
  <c r="Z255" i="13"/>
  <c r="R255" i="13"/>
  <c r="N255" i="13" s="1"/>
  <c r="AH254" i="13"/>
  <c r="Z254" i="13"/>
  <c r="R254" i="13"/>
  <c r="N254" i="13" s="1"/>
  <c r="AH253" i="13"/>
  <c r="Z253" i="13"/>
  <c r="R253" i="13"/>
  <c r="N253" i="13" s="1"/>
  <c r="AH252" i="13"/>
  <c r="Z252" i="13"/>
  <c r="R252" i="13"/>
  <c r="N252" i="13" s="1"/>
  <c r="AH251" i="13"/>
  <c r="Z251" i="13"/>
  <c r="R251" i="13"/>
  <c r="N251" i="13" s="1"/>
  <c r="AH250" i="13"/>
  <c r="Z250" i="13"/>
  <c r="R250" i="13"/>
  <c r="N250" i="13" s="1"/>
  <c r="AH249" i="13"/>
  <c r="Z249" i="13"/>
  <c r="R249" i="13"/>
  <c r="N249" i="13" s="1"/>
  <c r="AH248" i="13"/>
  <c r="Z248" i="13"/>
  <c r="R248" i="13"/>
  <c r="N248" i="13" s="1"/>
  <c r="AH247" i="13"/>
  <c r="Z247" i="13"/>
  <c r="R247" i="13"/>
  <c r="N247" i="13" s="1"/>
  <c r="AH246" i="13"/>
  <c r="Z246" i="13"/>
  <c r="R246" i="13"/>
  <c r="N246" i="13" s="1"/>
  <c r="AH245" i="13"/>
  <c r="Z245" i="13"/>
  <c r="R245" i="13"/>
  <c r="N245" i="13" s="1"/>
  <c r="AH244" i="13"/>
  <c r="Z244" i="13"/>
  <c r="R244" i="13"/>
  <c r="N244" i="13" s="1"/>
  <c r="AH243" i="13"/>
  <c r="Z243" i="13"/>
  <c r="R243" i="13"/>
  <c r="N243" i="13" s="1"/>
  <c r="AH242" i="13"/>
  <c r="Z242" i="13"/>
  <c r="R242" i="13"/>
  <c r="N242" i="13" s="1"/>
  <c r="AH241" i="13"/>
  <c r="Z241" i="13"/>
  <c r="R241" i="13"/>
  <c r="N241" i="13" s="1"/>
  <c r="AH240" i="13"/>
  <c r="Z240" i="13"/>
  <c r="R240" i="13"/>
  <c r="N240" i="13" s="1"/>
  <c r="AH239" i="13"/>
  <c r="Z239" i="13"/>
  <c r="R239" i="13"/>
  <c r="N239" i="13" s="1"/>
  <c r="AH238" i="13"/>
  <c r="Z238" i="13"/>
  <c r="R238" i="13"/>
  <c r="N238" i="13" s="1"/>
  <c r="AH237" i="13"/>
  <c r="Z237" i="13"/>
  <c r="R237" i="13"/>
  <c r="N237" i="13" s="1"/>
  <c r="AH236" i="13"/>
  <c r="Z236" i="13"/>
  <c r="R236" i="13"/>
  <c r="N236" i="13" s="1"/>
  <c r="AH235" i="13"/>
  <c r="Z235" i="13"/>
  <c r="R235" i="13"/>
  <c r="N235" i="13" s="1"/>
  <c r="R231" i="13"/>
  <c r="N231" i="13" s="1"/>
  <c r="AH230" i="13"/>
  <c r="Z230" i="13"/>
  <c r="R230" i="13"/>
  <c r="N230" i="13" s="1"/>
  <c r="AH229" i="13"/>
  <c r="Z229" i="13"/>
  <c r="R228" i="13"/>
  <c r="N228" i="13" s="1"/>
  <c r="R227" i="13"/>
  <c r="N227" i="13" s="1"/>
  <c r="AH226" i="13"/>
  <c r="Z226" i="13"/>
  <c r="R226" i="13"/>
  <c r="N226" i="13" s="1"/>
  <c r="R223" i="13"/>
  <c r="N223" i="13" s="1"/>
  <c r="AH222" i="13"/>
  <c r="Z222" i="13"/>
  <c r="R222" i="13"/>
  <c r="N222" i="13" s="1"/>
  <c r="AH221" i="13"/>
  <c r="Z221" i="13"/>
  <c r="R221" i="13"/>
  <c r="N221" i="13" s="1"/>
  <c r="AH220" i="13"/>
  <c r="Z220" i="13"/>
  <c r="R220" i="13"/>
  <c r="N220" i="13" s="1"/>
  <c r="AH219" i="13"/>
  <c r="Z219" i="13"/>
  <c r="R219" i="13"/>
  <c r="N219" i="13" s="1"/>
  <c r="AH218" i="13"/>
  <c r="Z218" i="13"/>
  <c r="R218" i="13"/>
  <c r="N218" i="13" s="1"/>
  <c r="AH217" i="13"/>
  <c r="Z217" i="13"/>
  <c r="R217" i="13"/>
  <c r="N217" i="13" s="1"/>
  <c r="AH216" i="13"/>
  <c r="Z216" i="13"/>
  <c r="R216" i="13"/>
  <c r="N216" i="13" s="1"/>
  <c r="AH215" i="13"/>
  <c r="R215" i="13"/>
  <c r="N215" i="13" s="1"/>
  <c r="AH214" i="13"/>
  <c r="R214" i="13"/>
  <c r="N214" i="13" s="1"/>
  <c r="AH213" i="13"/>
  <c r="Z213" i="13"/>
  <c r="R213" i="13"/>
  <c r="N213" i="13" s="1"/>
  <c r="AH212" i="13"/>
  <c r="AH211" i="13"/>
  <c r="R211" i="13"/>
  <c r="N211" i="13" s="1"/>
  <c r="AH210" i="13"/>
  <c r="R210" i="13"/>
  <c r="N210" i="13" s="1"/>
  <c r="AH209" i="13"/>
  <c r="R209" i="13"/>
  <c r="N209" i="13" s="1"/>
  <c r="AH208" i="13"/>
  <c r="R208" i="13"/>
  <c r="N208" i="13" s="1"/>
  <c r="AH207" i="13"/>
  <c r="R207" i="13"/>
  <c r="N207" i="13" s="1"/>
  <c r="AH206" i="13"/>
  <c r="R206" i="13"/>
  <c r="N206" i="13" s="1"/>
  <c r="R205" i="13"/>
  <c r="N205" i="13" s="1"/>
  <c r="R204" i="13"/>
  <c r="N204" i="13" s="1"/>
  <c r="R203" i="13"/>
  <c r="N203" i="13" s="1"/>
  <c r="R202" i="13"/>
  <c r="N202" i="13" s="1"/>
  <c r="R201" i="13"/>
  <c r="N201" i="13" s="1"/>
  <c r="R200" i="13"/>
  <c r="N200" i="13" s="1"/>
  <c r="AH199" i="13"/>
  <c r="R199" i="13"/>
  <c r="N199" i="13" s="1"/>
  <c r="AH198" i="13"/>
  <c r="R198" i="13"/>
  <c r="N198" i="13" s="1"/>
  <c r="AH197" i="13"/>
  <c r="R197" i="13"/>
  <c r="N197" i="13" s="1"/>
  <c r="AH196" i="13"/>
  <c r="Z196" i="13"/>
  <c r="R196" i="13"/>
  <c r="N196" i="13" s="1"/>
  <c r="AH195" i="13"/>
  <c r="Z195" i="13"/>
  <c r="R195" i="13"/>
  <c r="N195" i="13" s="1"/>
  <c r="AH194" i="13"/>
  <c r="Z194" i="13"/>
  <c r="R194" i="13"/>
  <c r="N194" i="13" s="1"/>
  <c r="AH193" i="13"/>
  <c r="Z193" i="13"/>
  <c r="R193" i="13"/>
  <c r="N193" i="13" s="1"/>
  <c r="AH192" i="13"/>
  <c r="Z192" i="13"/>
  <c r="R192" i="13"/>
  <c r="N192" i="13" s="1"/>
  <c r="AH191" i="13"/>
  <c r="Z191" i="13"/>
  <c r="R191" i="13"/>
  <c r="N191" i="13" s="1"/>
  <c r="AH190" i="13"/>
  <c r="Z190" i="13"/>
  <c r="R190" i="13"/>
  <c r="N190" i="13" s="1"/>
  <c r="AH189" i="13"/>
  <c r="Z189" i="13"/>
  <c r="R189" i="13"/>
  <c r="N189" i="13" s="1"/>
  <c r="AH188" i="13"/>
  <c r="Z188" i="13"/>
  <c r="R188" i="13"/>
  <c r="N188" i="13" s="1"/>
  <c r="AH186" i="13"/>
  <c r="Z186" i="13"/>
  <c r="R186" i="13"/>
  <c r="N186" i="13" s="1"/>
  <c r="AH184" i="13"/>
  <c r="Z184" i="13"/>
  <c r="R184" i="13"/>
  <c r="N184" i="13" s="1"/>
  <c r="AH180" i="13"/>
  <c r="Z180" i="13"/>
  <c r="N180" i="13"/>
  <c r="AH179" i="13"/>
  <c r="Z179" i="13"/>
  <c r="AH178" i="13"/>
  <c r="Z178" i="13"/>
  <c r="AH177" i="13"/>
  <c r="Z177" i="13"/>
  <c r="AH176" i="13"/>
  <c r="Z176" i="13"/>
  <c r="N176" i="13"/>
  <c r="AH168" i="13"/>
  <c r="Z168" i="13"/>
  <c r="AH167" i="13"/>
  <c r="Z167" i="13"/>
  <c r="AB167" i="13"/>
  <c r="AH166" i="13"/>
  <c r="Z166" i="13"/>
  <c r="AH165" i="13"/>
  <c r="AH164" i="13"/>
  <c r="AH163" i="13"/>
  <c r="AH162" i="13"/>
  <c r="AH161" i="13"/>
  <c r="AH158" i="13"/>
  <c r="AH156" i="13"/>
  <c r="R156" i="13"/>
  <c r="AH155" i="13"/>
  <c r="R155" i="13"/>
  <c r="AH154" i="13"/>
  <c r="Z154" i="13"/>
  <c r="R154" i="13"/>
  <c r="AH153" i="13"/>
  <c r="Z153" i="13"/>
  <c r="R153" i="13"/>
  <c r="AH152" i="13"/>
  <c r="Z152" i="13"/>
  <c r="R152" i="13"/>
  <c r="N152" i="13" s="1"/>
  <c r="AH151" i="13"/>
  <c r="Z151" i="13"/>
  <c r="R151" i="13"/>
  <c r="N151" i="13" s="1"/>
  <c r="AH150" i="13"/>
  <c r="Z150" i="13"/>
  <c r="R150" i="13"/>
  <c r="N150" i="13" s="1"/>
  <c r="AH149" i="13"/>
  <c r="Z149" i="13"/>
  <c r="R149" i="13"/>
  <c r="N149" i="13" s="1"/>
  <c r="AH148" i="13"/>
  <c r="Z148" i="13"/>
  <c r="R148" i="13"/>
  <c r="N148" i="13" s="1"/>
  <c r="AH147" i="13"/>
  <c r="Z147" i="13"/>
  <c r="R147" i="13"/>
  <c r="N147" i="13" s="1"/>
  <c r="AH146" i="13"/>
  <c r="Z146" i="13"/>
  <c r="R146" i="13"/>
  <c r="N146" i="13" s="1"/>
  <c r="AH145" i="13"/>
  <c r="Z145" i="13"/>
  <c r="R145" i="13"/>
  <c r="N145" i="13" s="1"/>
  <c r="AH144" i="13"/>
  <c r="Z144" i="13"/>
  <c r="R144" i="13"/>
  <c r="N144" i="13" s="1"/>
  <c r="AH143" i="13"/>
  <c r="Z143" i="13"/>
  <c r="R143" i="13"/>
  <c r="N143" i="13" s="1"/>
  <c r="AH142" i="13"/>
  <c r="Z142" i="13"/>
  <c r="AH141" i="13"/>
  <c r="Z141" i="13"/>
  <c r="R141" i="13"/>
  <c r="N141" i="13" s="1"/>
  <c r="AH140" i="13"/>
  <c r="Z140" i="13"/>
  <c r="R140" i="13"/>
  <c r="N140" i="13" s="1"/>
  <c r="AH138" i="13"/>
  <c r="Z138" i="13"/>
  <c r="R138" i="13"/>
  <c r="N138" i="13" s="1"/>
  <c r="AH137" i="13"/>
  <c r="Z137" i="13"/>
  <c r="R137" i="13"/>
  <c r="N137" i="13" s="1"/>
  <c r="AH136" i="13"/>
  <c r="Z136" i="13"/>
  <c r="R136" i="13"/>
  <c r="N136" i="13" s="1"/>
  <c r="AH135" i="13"/>
  <c r="Z135" i="13"/>
  <c r="R135" i="13"/>
  <c r="N135" i="13" s="1"/>
  <c r="AH134" i="13"/>
  <c r="R134" i="13"/>
  <c r="N134" i="13" s="1"/>
  <c r="AH133" i="13"/>
  <c r="R133" i="13"/>
  <c r="N133" i="13" s="1"/>
  <c r="AH132" i="13"/>
  <c r="R132" i="13"/>
  <c r="N132" i="13" s="1"/>
  <c r="AH131" i="13"/>
  <c r="R131" i="13"/>
  <c r="N131" i="13" s="1"/>
  <c r="AH130" i="13"/>
  <c r="R130" i="13"/>
  <c r="N130" i="13" s="1"/>
  <c r="AH129" i="13"/>
  <c r="Z129" i="13"/>
  <c r="N129" i="13"/>
  <c r="AH127" i="13"/>
  <c r="Z127" i="13"/>
  <c r="R127" i="13"/>
  <c r="N127" i="13" s="1"/>
  <c r="AH126" i="13"/>
  <c r="Z126" i="13"/>
  <c r="R126" i="13"/>
  <c r="N126" i="13" s="1"/>
  <c r="AH125" i="13"/>
  <c r="Z125" i="13"/>
  <c r="R125" i="13"/>
  <c r="N125" i="13" s="1"/>
  <c r="AH124" i="13"/>
  <c r="Z124" i="13"/>
  <c r="R124" i="13"/>
  <c r="N124" i="13" s="1"/>
  <c r="AH123" i="13"/>
  <c r="Z123" i="13"/>
  <c r="R123" i="13"/>
  <c r="N123" i="13" s="1"/>
  <c r="AH122" i="13"/>
  <c r="Z122" i="13"/>
  <c r="R122" i="13"/>
  <c r="N122" i="13" s="1"/>
  <c r="AH121" i="13"/>
  <c r="Z121" i="13"/>
  <c r="R121" i="13"/>
  <c r="N121" i="13" s="1"/>
  <c r="AH120" i="13"/>
  <c r="Z120" i="13"/>
  <c r="R120" i="13"/>
  <c r="N120" i="13" s="1"/>
  <c r="AH119" i="13"/>
  <c r="Z119" i="13"/>
  <c r="R119" i="13"/>
  <c r="N119" i="13" s="1"/>
  <c r="AH118" i="13"/>
  <c r="Z118" i="13"/>
  <c r="R118" i="13"/>
  <c r="N118" i="13" s="1"/>
  <c r="AH117" i="13"/>
  <c r="Z117" i="13"/>
  <c r="R117" i="13"/>
  <c r="N117" i="13" s="1"/>
  <c r="AH116" i="13"/>
  <c r="Z116" i="13"/>
  <c r="R116" i="13"/>
  <c r="N116" i="13" s="1"/>
  <c r="AH115" i="13"/>
  <c r="Z115" i="13"/>
  <c r="R115" i="13"/>
  <c r="N115" i="13" s="1"/>
  <c r="AH114" i="13"/>
  <c r="Z114" i="13"/>
  <c r="R114" i="13"/>
  <c r="N114" i="13" s="1"/>
  <c r="AH113" i="13"/>
  <c r="Z113" i="13"/>
  <c r="R113" i="13"/>
  <c r="N113" i="13" s="1"/>
  <c r="AH112" i="13"/>
  <c r="Z112" i="13"/>
  <c r="R112" i="13"/>
  <c r="N112" i="13" s="1"/>
  <c r="AH111" i="13"/>
  <c r="Z111" i="13"/>
  <c r="R111" i="13"/>
  <c r="N111" i="13" s="1"/>
  <c r="AH110" i="13"/>
  <c r="Z110" i="13"/>
  <c r="R110" i="13"/>
  <c r="N110" i="13" s="1"/>
  <c r="AH109" i="13"/>
  <c r="Z109" i="13"/>
  <c r="R109" i="13"/>
  <c r="N109" i="13" s="1"/>
  <c r="AH108" i="13"/>
  <c r="Z108" i="13"/>
  <c r="R108" i="13"/>
  <c r="N108" i="13" s="1"/>
  <c r="AH107" i="13"/>
  <c r="Z107" i="13"/>
  <c r="R107" i="13"/>
  <c r="N107" i="13" s="1"/>
  <c r="AH106" i="13"/>
  <c r="Z106" i="13"/>
  <c r="R106" i="13"/>
  <c r="N106" i="13" s="1"/>
  <c r="AH105" i="13"/>
  <c r="Z105" i="13"/>
  <c r="R105" i="13"/>
  <c r="N105" i="13" s="1"/>
  <c r="AH104" i="13"/>
  <c r="Z104" i="13"/>
  <c r="R104" i="13"/>
  <c r="N104" i="13" s="1"/>
  <c r="AH103" i="13"/>
  <c r="Z103" i="13"/>
  <c r="R103" i="13"/>
  <c r="N103" i="13" s="1"/>
  <c r="AH102" i="13"/>
  <c r="Z102" i="13"/>
  <c r="R102" i="13"/>
  <c r="N102" i="13" s="1"/>
  <c r="AH101" i="13"/>
  <c r="Z101" i="13"/>
  <c r="R101" i="13"/>
  <c r="N101" i="13" s="1"/>
  <c r="AH100" i="13"/>
  <c r="Z100" i="13"/>
  <c r="R100" i="13"/>
  <c r="N100" i="13" s="1"/>
  <c r="AH99" i="13"/>
  <c r="Z99" i="13"/>
  <c r="R99" i="13"/>
  <c r="N99" i="13" s="1"/>
  <c r="AH98" i="13"/>
  <c r="Z98" i="13"/>
  <c r="R98" i="13"/>
  <c r="N98" i="13" s="1"/>
  <c r="AH97" i="13"/>
  <c r="Z97" i="13"/>
  <c r="R97" i="13"/>
  <c r="N97" i="13" s="1"/>
  <c r="AH96" i="13"/>
  <c r="Z96" i="13"/>
  <c r="R96" i="13"/>
  <c r="N96" i="13" s="1"/>
  <c r="AH95" i="13"/>
  <c r="Z95" i="13"/>
  <c r="R95" i="13"/>
  <c r="N95" i="13" s="1"/>
  <c r="AH94" i="13"/>
  <c r="Z94" i="13"/>
  <c r="R94" i="13"/>
  <c r="N94" i="13" s="1"/>
  <c r="AH93" i="13"/>
  <c r="Z93" i="13"/>
  <c r="R93" i="13"/>
  <c r="N93" i="13" s="1"/>
  <c r="AH92" i="13"/>
  <c r="Z92" i="13"/>
  <c r="R92" i="13"/>
  <c r="N92" i="13" s="1"/>
  <c r="AH91" i="13"/>
  <c r="Z91" i="13"/>
  <c r="R91" i="13"/>
  <c r="N91" i="13" s="1"/>
  <c r="AH90" i="13"/>
  <c r="Z90" i="13"/>
  <c r="R90" i="13"/>
  <c r="N90" i="13" s="1"/>
  <c r="AH89" i="13"/>
  <c r="Z89" i="13"/>
  <c r="R89" i="13"/>
  <c r="N89" i="13" s="1"/>
  <c r="AH88" i="13"/>
  <c r="Z88" i="13"/>
  <c r="R88" i="13"/>
  <c r="N88" i="13" s="1"/>
  <c r="AH87" i="13"/>
  <c r="Z87" i="13"/>
  <c r="R87" i="13"/>
  <c r="N87" i="13" s="1"/>
  <c r="AH86" i="13"/>
  <c r="Z86" i="13"/>
  <c r="R86" i="13"/>
  <c r="N86" i="13" s="1"/>
  <c r="AH85" i="13"/>
  <c r="Z85" i="13"/>
  <c r="R85" i="13"/>
  <c r="N85" i="13" s="1"/>
  <c r="AH84" i="13"/>
  <c r="Z84" i="13"/>
  <c r="R84" i="13"/>
  <c r="N84" i="13" s="1"/>
  <c r="AH83" i="13"/>
  <c r="Z83" i="13"/>
  <c r="R83" i="13"/>
  <c r="N83" i="13" s="1"/>
  <c r="AH82" i="13"/>
  <c r="Z82" i="13"/>
  <c r="R82" i="13"/>
  <c r="N82" i="13" s="1"/>
  <c r="AH81" i="13"/>
  <c r="Z81" i="13"/>
  <c r="R81" i="13"/>
  <c r="N81" i="13" s="1"/>
  <c r="AH80" i="13"/>
  <c r="Z80" i="13"/>
  <c r="R80" i="13"/>
  <c r="N80" i="13" s="1"/>
  <c r="AH79" i="13"/>
  <c r="Z79" i="13"/>
  <c r="R79" i="13"/>
  <c r="N79" i="13" s="1"/>
  <c r="AH78" i="13"/>
  <c r="Z78" i="13"/>
  <c r="R78" i="13"/>
  <c r="N78" i="13" s="1"/>
  <c r="AH77" i="13"/>
  <c r="Z77" i="13"/>
  <c r="R77" i="13"/>
  <c r="N77" i="13" s="1"/>
  <c r="AH76" i="13"/>
  <c r="Z76" i="13"/>
  <c r="R76" i="13"/>
  <c r="N76" i="13" s="1"/>
  <c r="AH75" i="13"/>
  <c r="Z75" i="13"/>
  <c r="R75" i="13"/>
  <c r="N75" i="13" s="1"/>
  <c r="AH74" i="13"/>
  <c r="Z74" i="13"/>
  <c r="R74" i="13"/>
  <c r="N74" i="13" s="1"/>
  <c r="AH73" i="13"/>
  <c r="Z73" i="13"/>
  <c r="R73" i="13"/>
  <c r="N73" i="13" s="1"/>
  <c r="AH72" i="13"/>
  <c r="Z72" i="13"/>
  <c r="R72" i="13"/>
  <c r="N72" i="13" s="1"/>
  <c r="AH71" i="13"/>
  <c r="Z71" i="13"/>
  <c r="R71" i="13"/>
  <c r="N71" i="13" s="1"/>
  <c r="AH70" i="13"/>
  <c r="Z70" i="13"/>
  <c r="R70" i="13"/>
  <c r="N70" i="13" s="1"/>
  <c r="AH69" i="13"/>
  <c r="Z69" i="13"/>
  <c r="R69" i="13"/>
  <c r="N69" i="13" s="1"/>
  <c r="AH68" i="13"/>
  <c r="Z68" i="13"/>
  <c r="R68" i="13"/>
  <c r="N68" i="13" s="1"/>
  <c r="R67" i="13"/>
  <c r="N67" i="13" s="1"/>
  <c r="AH66" i="13"/>
  <c r="Z66" i="13"/>
  <c r="R66" i="13"/>
  <c r="N66" i="13" s="1"/>
  <c r="AH65" i="13"/>
  <c r="Z65" i="13"/>
  <c r="R65" i="13"/>
  <c r="N65" i="13" s="1"/>
  <c r="AH64" i="13"/>
  <c r="Z64" i="13"/>
  <c r="R64" i="13"/>
  <c r="N64" i="13" s="1"/>
  <c r="AH63" i="13"/>
  <c r="Z63" i="13"/>
  <c r="R63" i="13"/>
  <c r="N63" i="13" s="1"/>
  <c r="AH62" i="13"/>
  <c r="Z62" i="13"/>
  <c r="R62" i="13"/>
  <c r="N62" i="13" s="1"/>
  <c r="AH61" i="13"/>
  <c r="Z61" i="13"/>
  <c r="R61" i="13"/>
  <c r="N61" i="13" s="1"/>
  <c r="AH60" i="13"/>
  <c r="Z60" i="13"/>
  <c r="R60" i="13"/>
  <c r="N60" i="13" s="1"/>
  <c r="AH59" i="13"/>
  <c r="Z59" i="13"/>
  <c r="R59" i="13"/>
  <c r="N59" i="13" s="1"/>
  <c r="AH58" i="13"/>
  <c r="Z58" i="13"/>
  <c r="R58" i="13"/>
  <c r="N58" i="13" s="1"/>
  <c r="AH57" i="13"/>
  <c r="Z57" i="13"/>
  <c r="R57" i="13"/>
  <c r="N57" i="13" s="1"/>
  <c r="AH56" i="13"/>
  <c r="Z56" i="13"/>
  <c r="R56" i="13"/>
  <c r="N56" i="13" s="1"/>
  <c r="AH55" i="13"/>
  <c r="Z55" i="13"/>
  <c r="R55" i="13"/>
  <c r="N55" i="13" s="1"/>
  <c r="AH54" i="13"/>
  <c r="Z54" i="13"/>
  <c r="R54" i="13"/>
  <c r="N54" i="13" s="1"/>
  <c r="AH53" i="13"/>
  <c r="Z53" i="13"/>
  <c r="R53" i="13"/>
  <c r="N53" i="13" s="1"/>
  <c r="AH52" i="13"/>
  <c r="Z52" i="13"/>
  <c r="R52" i="13"/>
  <c r="N52" i="13" s="1"/>
  <c r="AH51" i="13"/>
  <c r="Z51" i="13"/>
  <c r="R51" i="13"/>
  <c r="N51" i="13" s="1"/>
  <c r="AH50" i="13"/>
  <c r="Z50" i="13"/>
  <c r="R50" i="13"/>
  <c r="N50" i="13" s="1"/>
  <c r="AH49" i="13"/>
  <c r="Z49" i="13"/>
  <c r="R49" i="13"/>
  <c r="N49" i="13" s="1"/>
  <c r="AH48" i="13"/>
  <c r="Z48" i="13"/>
  <c r="R48" i="13"/>
  <c r="N48" i="13" s="1"/>
  <c r="AH47" i="13"/>
  <c r="Z47" i="13"/>
  <c r="R47" i="13"/>
  <c r="N47" i="13" s="1"/>
  <c r="AH46" i="13"/>
  <c r="Z46" i="13"/>
  <c r="R46" i="13"/>
  <c r="N46" i="13" s="1"/>
  <c r="AH45" i="13"/>
  <c r="Z45" i="13"/>
  <c r="R45" i="13"/>
  <c r="N45" i="13" s="1"/>
  <c r="AH44" i="13"/>
  <c r="Z44" i="13"/>
  <c r="R44" i="13"/>
  <c r="N44" i="13" s="1"/>
  <c r="AH43" i="13"/>
  <c r="Z43" i="13"/>
  <c r="R43" i="13"/>
  <c r="N43" i="13" s="1"/>
  <c r="AH42" i="13"/>
  <c r="Z42" i="13"/>
  <c r="R42" i="13"/>
  <c r="N42" i="13" s="1"/>
  <c r="AH41" i="13"/>
  <c r="Z41" i="13"/>
  <c r="R41" i="13"/>
  <c r="N41" i="13" s="1"/>
  <c r="AH40" i="13"/>
  <c r="Z40" i="13"/>
  <c r="R40" i="13"/>
  <c r="N40" i="13" s="1"/>
  <c r="AH39" i="13"/>
  <c r="Z39" i="13"/>
  <c r="R39" i="13"/>
  <c r="N39" i="13" s="1"/>
  <c r="AH38" i="13"/>
  <c r="Z38" i="13"/>
  <c r="R38" i="13"/>
  <c r="N38" i="13" s="1"/>
  <c r="AH37" i="13"/>
  <c r="Z37" i="13"/>
  <c r="R37" i="13"/>
  <c r="N37" i="13" s="1"/>
  <c r="AH36" i="13"/>
  <c r="Z36" i="13"/>
  <c r="R36" i="13"/>
  <c r="N36" i="13" s="1"/>
  <c r="AH35" i="13"/>
  <c r="Z35" i="13"/>
  <c r="R35" i="13"/>
  <c r="N35" i="13" s="1"/>
  <c r="AH34" i="13"/>
  <c r="Z34" i="13"/>
  <c r="R34" i="13"/>
  <c r="N34" i="13" s="1"/>
  <c r="AH33" i="13"/>
  <c r="Z33" i="13"/>
  <c r="R33" i="13"/>
  <c r="N33" i="13" s="1"/>
  <c r="AH32" i="13"/>
  <c r="Z32" i="13"/>
  <c r="R32" i="13"/>
  <c r="N32" i="13" s="1"/>
  <c r="AH31" i="13"/>
  <c r="Z31" i="13"/>
  <c r="R31" i="13"/>
  <c r="N31" i="13" s="1"/>
  <c r="AH30" i="13"/>
  <c r="Z30" i="13"/>
  <c r="R30" i="13"/>
  <c r="N30" i="13" s="1"/>
  <c r="AH29" i="13"/>
  <c r="Z29" i="13"/>
  <c r="R29" i="13"/>
  <c r="N29" i="13" s="1"/>
  <c r="AH28" i="13"/>
  <c r="Z28" i="13"/>
  <c r="R28" i="13"/>
  <c r="N28" i="13" s="1"/>
  <c r="AH27" i="13"/>
  <c r="Z27" i="13"/>
  <c r="R27" i="13"/>
  <c r="N27" i="13" s="1"/>
  <c r="AH26" i="13"/>
  <c r="Z26" i="13"/>
  <c r="R26" i="13"/>
  <c r="N26" i="13" s="1"/>
  <c r="AH25" i="13"/>
  <c r="Z25" i="13"/>
  <c r="R25" i="13"/>
  <c r="N25" i="13" s="1"/>
  <c r="AH24" i="13"/>
  <c r="Z24" i="13"/>
  <c r="R24" i="13"/>
  <c r="N24" i="13" s="1"/>
  <c r="AH23" i="13"/>
  <c r="Z23" i="13"/>
  <c r="R23" i="13"/>
  <c r="N23" i="13" s="1"/>
  <c r="AH22" i="13"/>
  <c r="Z22" i="13"/>
  <c r="R22" i="13"/>
  <c r="N22" i="13" s="1"/>
  <c r="AH21" i="13"/>
  <c r="Z21" i="13"/>
  <c r="R21" i="13"/>
  <c r="N21" i="13" s="1"/>
  <c r="AH20" i="13"/>
  <c r="Z20" i="13"/>
  <c r="R20" i="13"/>
  <c r="N20" i="13" s="1"/>
  <c r="AH19" i="13"/>
  <c r="Z19" i="13"/>
  <c r="R19" i="13"/>
  <c r="N19" i="13" s="1"/>
  <c r="B19" i="13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H18" i="13"/>
  <c r="Z18" i="13"/>
  <c r="R18" i="13"/>
  <c r="N18" i="13" s="1"/>
  <c r="T17" i="13"/>
  <c r="S17" i="13"/>
  <c r="Q17" i="13"/>
  <c r="O17" i="13"/>
  <c r="X321" i="13" l="1"/>
  <c r="U321" i="13"/>
  <c r="V321" i="13"/>
  <c r="AE399" i="13"/>
  <c r="U399" i="13"/>
  <c r="V399" i="13"/>
  <c r="U394" i="13"/>
  <c r="V394" i="13"/>
  <c r="AB397" i="13"/>
  <c r="U397" i="13"/>
  <c r="V397" i="13"/>
  <c r="AC229" i="13"/>
  <c r="U229" i="13"/>
  <c r="V229" i="13"/>
  <c r="AE395" i="13"/>
  <c r="U395" i="13"/>
  <c r="V395" i="13"/>
  <c r="AE398" i="13"/>
  <c r="U398" i="13"/>
  <c r="V398" i="13"/>
  <c r="AE396" i="13"/>
  <c r="U396" i="13"/>
  <c r="V396" i="13"/>
  <c r="AE176" i="13"/>
  <c r="U176" i="13"/>
  <c r="V176" i="13"/>
  <c r="AZ161" i="13"/>
  <c r="U161" i="13"/>
  <c r="V161" i="13"/>
  <c r="U179" i="13"/>
  <c r="V179" i="13"/>
  <c r="AZ162" i="13"/>
  <c r="U162" i="13"/>
  <c r="V162" i="13"/>
  <c r="U129" i="13"/>
  <c r="V129" i="13"/>
  <c r="AZ163" i="13"/>
  <c r="U163" i="13"/>
  <c r="V163" i="13"/>
  <c r="AB177" i="13"/>
  <c r="U177" i="13"/>
  <c r="V177" i="13"/>
  <c r="AZ164" i="13"/>
  <c r="U164" i="13"/>
  <c r="V164" i="13"/>
  <c r="U178" i="13"/>
  <c r="V178" i="13"/>
  <c r="U180" i="13"/>
  <c r="V180" i="13"/>
  <c r="U335" i="13"/>
  <c r="V335" i="13"/>
  <c r="U165" i="13"/>
  <c r="V165" i="13"/>
  <c r="AZ165" i="13"/>
  <c r="AZ166" i="13"/>
  <c r="U166" i="13"/>
  <c r="V166" i="13"/>
  <c r="AZ167" i="13"/>
  <c r="U167" i="13"/>
  <c r="V167" i="13"/>
  <c r="AZ158" i="13"/>
  <c r="U158" i="13"/>
  <c r="V158" i="13"/>
  <c r="AZ168" i="13"/>
  <c r="U168" i="13"/>
  <c r="V168" i="13"/>
  <c r="AZ205" i="13"/>
  <c r="AZ322" i="13"/>
  <c r="AZ370" i="13"/>
  <c r="AZ378" i="13"/>
  <c r="U44" i="13"/>
  <c r="V44" i="13"/>
  <c r="AC122" i="13"/>
  <c r="U122" i="13"/>
  <c r="V122" i="13"/>
  <c r="AC189" i="13"/>
  <c r="U189" i="13"/>
  <c r="V189" i="13"/>
  <c r="U202" i="13"/>
  <c r="V202" i="13"/>
  <c r="X313" i="13"/>
  <c r="U313" i="13"/>
  <c r="V313" i="13"/>
  <c r="U377" i="13"/>
  <c r="V377" i="13"/>
  <c r="U415" i="13"/>
  <c r="V415" i="13"/>
  <c r="AE23" i="13"/>
  <c r="U23" i="13"/>
  <c r="V23" i="13"/>
  <c r="AE31" i="13"/>
  <c r="U31" i="13"/>
  <c r="V31" i="13"/>
  <c r="AE39" i="13"/>
  <c r="U39" i="13"/>
  <c r="V39" i="13"/>
  <c r="U47" i="13"/>
  <c r="V47" i="13"/>
  <c r="X55" i="13"/>
  <c r="U55" i="13"/>
  <c r="V55" i="13"/>
  <c r="AE63" i="13"/>
  <c r="U63" i="13"/>
  <c r="V63" i="13"/>
  <c r="AE69" i="13"/>
  <c r="U69" i="13"/>
  <c r="V69" i="13"/>
  <c r="X77" i="13"/>
  <c r="U77" i="13"/>
  <c r="V77" i="13"/>
  <c r="AB85" i="13"/>
  <c r="U85" i="13"/>
  <c r="V85" i="13"/>
  <c r="X93" i="13"/>
  <c r="U93" i="13"/>
  <c r="V93" i="13"/>
  <c r="X101" i="13"/>
  <c r="U101" i="13"/>
  <c r="V101" i="13"/>
  <c r="X109" i="13"/>
  <c r="U109" i="13"/>
  <c r="V109" i="13"/>
  <c r="X117" i="13"/>
  <c r="U117" i="13"/>
  <c r="V117" i="13"/>
  <c r="X125" i="13"/>
  <c r="U125" i="13"/>
  <c r="V125" i="13"/>
  <c r="U132" i="13"/>
  <c r="V132" i="13"/>
  <c r="AC145" i="13"/>
  <c r="U145" i="13"/>
  <c r="V145" i="13"/>
  <c r="U192" i="13"/>
  <c r="V192" i="13"/>
  <c r="U203" i="13"/>
  <c r="V203" i="13"/>
  <c r="X213" i="13"/>
  <c r="U213" i="13"/>
  <c r="V213" i="13"/>
  <c r="U219" i="13"/>
  <c r="V219" i="13"/>
  <c r="U227" i="13"/>
  <c r="V227" i="13"/>
  <c r="U231" i="13"/>
  <c r="V231" i="13"/>
  <c r="U240" i="13"/>
  <c r="V240" i="13"/>
  <c r="U248" i="13"/>
  <c r="V248" i="13"/>
  <c r="U256" i="13"/>
  <c r="V256" i="13"/>
  <c r="U264" i="13"/>
  <c r="V264" i="13"/>
  <c r="AC272" i="13"/>
  <c r="U272" i="13"/>
  <c r="V272" i="13"/>
  <c r="U275" i="13"/>
  <c r="V275" i="13"/>
  <c r="AE283" i="13"/>
  <c r="U283" i="13"/>
  <c r="V283" i="13"/>
  <c r="U286" i="13"/>
  <c r="V286" i="13"/>
  <c r="AE289" i="13"/>
  <c r="U289" i="13"/>
  <c r="V289" i="13"/>
  <c r="U297" i="13"/>
  <c r="V297" i="13"/>
  <c r="U308" i="13"/>
  <c r="V308" i="13"/>
  <c r="AB316" i="13"/>
  <c r="U316" i="13"/>
  <c r="V316" i="13"/>
  <c r="X326" i="13"/>
  <c r="U326" i="13"/>
  <c r="V326" i="13"/>
  <c r="U334" i="13"/>
  <c r="V334" i="13"/>
  <c r="X340" i="13"/>
  <c r="U340" i="13"/>
  <c r="V340" i="13"/>
  <c r="U348" i="13"/>
  <c r="V348" i="13"/>
  <c r="U356" i="13"/>
  <c r="V356" i="13"/>
  <c r="AE372" i="13"/>
  <c r="U372" i="13"/>
  <c r="V372" i="13"/>
  <c r="U378" i="13"/>
  <c r="V378" i="13"/>
  <c r="U384" i="13"/>
  <c r="V384" i="13"/>
  <c r="AC403" i="13"/>
  <c r="U403" i="13"/>
  <c r="V403" i="13"/>
  <c r="U410" i="13"/>
  <c r="V410" i="13"/>
  <c r="U419" i="13"/>
  <c r="V419" i="13"/>
  <c r="AE422" i="13"/>
  <c r="U422" i="13"/>
  <c r="V422" i="13"/>
  <c r="AC427" i="13"/>
  <c r="V427" i="13"/>
  <c r="U427" i="13"/>
  <c r="AB20" i="13"/>
  <c r="U20" i="13"/>
  <c r="V20" i="13"/>
  <c r="U82" i="13"/>
  <c r="V82" i="13"/>
  <c r="AC197" i="13"/>
  <c r="U197" i="13"/>
  <c r="V197" i="13"/>
  <c r="U245" i="13"/>
  <c r="V245" i="13"/>
  <c r="AC331" i="13"/>
  <c r="U331" i="13"/>
  <c r="V331" i="13"/>
  <c r="U371" i="13"/>
  <c r="V371" i="13"/>
  <c r="U26" i="13"/>
  <c r="V26" i="13"/>
  <c r="U34" i="13"/>
  <c r="V34" i="13"/>
  <c r="U42" i="13"/>
  <c r="V42" i="13"/>
  <c r="U50" i="13"/>
  <c r="V50" i="13"/>
  <c r="AC58" i="13"/>
  <c r="U58" i="13"/>
  <c r="V58" i="13"/>
  <c r="AC66" i="13"/>
  <c r="U66" i="13"/>
  <c r="V66" i="13"/>
  <c r="AE72" i="13"/>
  <c r="U72" i="13"/>
  <c r="V72" i="13"/>
  <c r="U80" i="13"/>
  <c r="V80" i="13"/>
  <c r="U88" i="13"/>
  <c r="V88" i="13"/>
  <c r="AB96" i="13"/>
  <c r="U96" i="13"/>
  <c r="V96" i="13"/>
  <c r="AB104" i="13"/>
  <c r="U104" i="13"/>
  <c r="V104" i="13"/>
  <c r="AB112" i="13"/>
  <c r="U112" i="13"/>
  <c r="V112" i="13"/>
  <c r="AB120" i="13"/>
  <c r="U120" i="13"/>
  <c r="V120" i="13"/>
  <c r="AB136" i="13"/>
  <c r="U136" i="13"/>
  <c r="V136" i="13"/>
  <c r="AB148" i="13"/>
  <c r="U148" i="13"/>
  <c r="V148" i="13"/>
  <c r="U186" i="13"/>
  <c r="V186" i="13"/>
  <c r="X195" i="13"/>
  <c r="U195" i="13"/>
  <c r="V195" i="13"/>
  <c r="AC198" i="13"/>
  <c r="U198" i="13"/>
  <c r="V198" i="13"/>
  <c r="U204" i="13"/>
  <c r="V204" i="13"/>
  <c r="AC209" i="13"/>
  <c r="U209" i="13"/>
  <c r="V209" i="13"/>
  <c r="AC222" i="13"/>
  <c r="U222" i="13"/>
  <c r="V222" i="13"/>
  <c r="U228" i="13"/>
  <c r="V228" i="13"/>
  <c r="AE235" i="13"/>
  <c r="U235" i="13"/>
  <c r="V235" i="13"/>
  <c r="AC243" i="13"/>
  <c r="U243" i="13"/>
  <c r="V243" i="13"/>
  <c r="AE251" i="13"/>
  <c r="U251" i="13"/>
  <c r="V251" i="13"/>
  <c r="AE259" i="13"/>
  <c r="U259" i="13"/>
  <c r="V259" i="13"/>
  <c r="X267" i="13"/>
  <c r="U267" i="13"/>
  <c r="V267" i="13"/>
  <c r="AB278" i="13"/>
  <c r="U278" i="13"/>
  <c r="V278" i="13"/>
  <c r="X292" i="13"/>
  <c r="U292" i="13"/>
  <c r="V292" i="13"/>
  <c r="X300" i="13"/>
  <c r="U300" i="13"/>
  <c r="V300" i="13"/>
  <c r="U303" i="13"/>
  <c r="V303" i="13"/>
  <c r="U311" i="13"/>
  <c r="V311" i="13"/>
  <c r="AB319" i="13"/>
  <c r="U319" i="13"/>
  <c r="V319" i="13"/>
  <c r="AB329" i="13"/>
  <c r="U329" i="13"/>
  <c r="V329" i="13"/>
  <c r="X343" i="13"/>
  <c r="U343" i="13"/>
  <c r="V343" i="13"/>
  <c r="X351" i="13"/>
  <c r="U351" i="13"/>
  <c r="V351" i="13"/>
  <c r="AB359" i="13"/>
  <c r="U359" i="13"/>
  <c r="V359" i="13"/>
  <c r="AC365" i="13"/>
  <c r="U365" i="13"/>
  <c r="V365" i="13"/>
  <c r="U379" i="13"/>
  <c r="V379" i="13"/>
  <c r="U387" i="13"/>
  <c r="V387" i="13"/>
  <c r="AC391" i="13"/>
  <c r="U391" i="13"/>
  <c r="V391" i="13"/>
  <c r="U405" i="13"/>
  <c r="V405" i="13"/>
  <c r="V413" i="13"/>
  <c r="U413" i="13"/>
  <c r="U52" i="13"/>
  <c r="V52" i="13"/>
  <c r="AC98" i="13"/>
  <c r="U98" i="13"/>
  <c r="V98" i="13"/>
  <c r="AC138" i="13"/>
  <c r="U138" i="13"/>
  <c r="V138" i="13"/>
  <c r="U261" i="13"/>
  <c r="V261" i="13"/>
  <c r="AC353" i="13"/>
  <c r="U353" i="13"/>
  <c r="V353" i="13"/>
  <c r="AE381" i="13"/>
  <c r="U381" i="13"/>
  <c r="V381" i="13"/>
  <c r="U407" i="13"/>
  <c r="V407" i="13"/>
  <c r="U21" i="13"/>
  <c r="V21" i="13"/>
  <c r="U29" i="13"/>
  <c r="V29" i="13"/>
  <c r="U37" i="13"/>
  <c r="V37" i="13"/>
  <c r="X45" i="13"/>
  <c r="U45" i="13"/>
  <c r="V45" i="13"/>
  <c r="X53" i="13"/>
  <c r="U53" i="13"/>
  <c r="V53" i="13"/>
  <c r="U61" i="13"/>
  <c r="V61" i="13"/>
  <c r="AE75" i="13"/>
  <c r="U75" i="13"/>
  <c r="V75" i="13"/>
  <c r="U83" i="13"/>
  <c r="V83" i="13"/>
  <c r="X91" i="13"/>
  <c r="U91" i="13"/>
  <c r="V91" i="13"/>
  <c r="AE99" i="13"/>
  <c r="U99" i="13"/>
  <c r="V99" i="13"/>
  <c r="AE107" i="13"/>
  <c r="U107" i="13"/>
  <c r="V107" i="13"/>
  <c r="AE115" i="13"/>
  <c r="U115" i="13"/>
  <c r="V115" i="13"/>
  <c r="AE123" i="13"/>
  <c r="U123" i="13"/>
  <c r="V123" i="13"/>
  <c r="U133" i="13"/>
  <c r="V133" i="13"/>
  <c r="U140" i="13"/>
  <c r="V140" i="13"/>
  <c r="AE143" i="13"/>
  <c r="U143" i="13"/>
  <c r="V143" i="13"/>
  <c r="U151" i="13"/>
  <c r="V151" i="13"/>
  <c r="U190" i="13"/>
  <c r="V190" i="13"/>
  <c r="U205" i="13"/>
  <c r="V205" i="13"/>
  <c r="X217" i="13"/>
  <c r="U217" i="13"/>
  <c r="V217" i="13"/>
  <c r="U238" i="13"/>
  <c r="V238" i="13"/>
  <c r="AE246" i="13"/>
  <c r="U246" i="13"/>
  <c r="V246" i="13"/>
  <c r="U254" i="13"/>
  <c r="V254" i="13"/>
  <c r="AE262" i="13"/>
  <c r="U262" i="13"/>
  <c r="V262" i="13"/>
  <c r="U270" i="13"/>
  <c r="V270" i="13"/>
  <c r="AE281" i="13"/>
  <c r="U281" i="13"/>
  <c r="V281" i="13"/>
  <c r="AE287" i="13"/>
  <c r="U287" i="13"/>
  <c r="V287" i="13"/>
  <c r="U295" i="13"/>
  <c r="V295" i="13"/>
  <c r="AE306" i="13"/>
  <c r="U306" i="13"/>
  <c r="V306" i="13"/>
  <c r="AC314" i="13"/>
  <c r="U314" i="13"/>
  <c r="V314" i="13"/>
  <c r="U322" i="13"/>
  <c r="V322" i="13"/>
  <c r="X332" i="13"/>
  <c r="U332" i="13"/>
  <c r="V332" i="13"/>
  <c r="U338" i="13"/>
  <c r="V338" i="13"/>
  <c r="AE346" i="13"/>
  <c r="U346" i="13"/>
  <c r="V346" i="13"/>
  <c r="U354" i="13"/>
  <c r="V354" i="13"/>
  <c r="U362" i="13"/>
  <c r="V362" i="13"/>
  <c r="AC368" i="13"/>
  <c r="U368" i="13"/>
  <c r="V368" i="13"/>
  <c r="AE382" i="13"/>
  <c r="U382" i="13"/>
  <c r="V382" i="13"/>
  <c r="U400" i="13"/>
  <c r="V400" i="13"/>
  <c r="AB408" i="13"/>
  <c r="U408" i="13"/>
  <c r="V408" i="13"/>
  <c r="U416" i="13"/>
  <c r="V416" i="13"/>
  <c r="AC428" i="13"/>
  <c r="U428" i="13"/>
  <c r="V428" i="13"/>
  <c r="X60" i="13"/>
  <c r="U60" i="13"/>
  <c r="V60" i="13"/>
  <c r="X237" i="13"/>
  <c r="U237" i="13"/>
  <c r="V237" i="13"/>
  <c r="U294" i="13"/>
  <c r="V294" i="13"/>
  <c r="AB367" i="13"/>
  <c r="U367" i="13"/>
  <c r="V367" i="13"/>
  <c r="AB24" i="13"/>
  <c r="U24" i="13"/>
  <c r="V24" i="13"/>
  <c r="AB32" i="13"/>
  <c r="U32" i="13"/>
  <c r="V32" i="13"/>
  <c r="AE40" i="13"/>
  <c r="U40" i="13"/>
  <c r="V40" i="13"/>
  <c r="U48" i="13"/>
  <c r="V48" i="13"/>
  <c r="X56" i="13"/>
  <c r="U56" i="13"/>
  <c r="V56" i="13"/>
  <c r="X64" i="13"/>
  <c r="U64" i="13"/>
  <c r="V64" i="13"/>
  <c r="AE70" i="13"/>
  <c r="U70" i="13"/>
  <c r="V70" i="13"/>
  <c r="U78" i="13"/>
  <c r="V78" i="13"/>
  <c r="AC86" i="13"/>
  <c r="U86" i="13"/>
  <c r="V86" i="13"/>
  <c r="AC94" i="13"/>
  <c r="U94" i="13"/>
  <c r="V94" i="13"/>
  <c r="AC102" i="13"/>
  <c r="U102" i="13"/>
  <c r="V102" i="13"/>
  <c r="AC110" i="13"/>
  <c r="U110" i="13"/>
  <c r="V110" i="13"/>
  <c r="AC118" i="13"/>
  <c r="U118" i="13"/>
  <c r="V118" i="13"/>
  <c r="AC126" i="13"/>
  <c r="U126" i="13"/>
  <c r="V126" i="13"/>
  <c r="U146" i="13"/>
  <c r="V146" i="13"/>
  <c r="U193" i="13"/>
  <c r="V193" i="13"/>
  <c r="AC199" i="13"/>
  <c r="U199" i="13"/>
  <c r="V199" i="13"/>
  <c r="U206" i="13"/>
  <c r="V206" i="13"/>
  <c r="AC210" i="13"/>
  <c r="U210" i="13"/>
  <c r="V210" i="13"/>
  <c r="U214" i="13"/>
  <c r="V214" i="13"/>
  <c r="U220" i="13"/>
  <c r="V220" i="13"/>
  <c r="U241" i="13"/>
  <c r="V241" i="13"/>
  <c r="U249" i="13"/>
  <c r="V249" i="13"/>
  <c r="AE257" i="13"/>
  <c r="U257" i="13"/>
  <c r="V257" i="13"/>
  <c r="U265" i="13"/>
  <c r="V265" i="13"/>
  <c r="U273" i="13"/>
  <c r="V273" i="13"/>
  <c r="U276" i="13"/>
  <c r="V276" i="13"/>
  <c r="U284" i="13"/>
  <c r="V284" i="13"/>
  <c r="U290" i="13"/>
  <c r="V290" i="13"/>
  <c r="U298" i="13"/>
  <c r="V298" i="13"/>
  <c r="X309" i="13"/>
  <c r="U309" i="13"/>
  <c r="V309" i="13"/>
  <c r="U317" i="13"/>
  <c r="V317" i="13"/>
  <c r="U323" i="13"/>
  <c r="V323" i="13"/>
  <c r="AC327" i="13"/>
  <c r="U327" i="13"/>
  <c r="V327" i="13"/>
  <c r="U341" i="13"/>
  <c r="V341" i="13"/>
  <c r="U349" i="13"/>
  <c r="V349" i="13"/>
  <c r="U357" i="13"/>
  <c r="V357" i="13"/>
  <c r="U363" i="13"/>
  <c r="V363" i="13"/>
  <c r="AC373" i="13"/>
  <c r="U373" i="13"/>
  <c r="V373" i="13"/>
  <c r="AE385" i="13"/>
  <c r="U385" i="13"/>
  <c r="V385" i="13"/>
  <c r="U411" i="13"/>
  <c r="V411" i="13"/>
  <c r="U420" i="13"/>
  <c r="V420" i="13"/>
  <c r="AC429" i="13"/>
  <c r="V429" i="13"/>
  <c r="U429" i="13"/>
  <c r="U28" i="13"/>
  <c r="V28" i="13"/>
  <c r="AC106" i="13"/>
  <c r="U106" i="13"/>
  <c r="V106" i="13"/>
  <c r="AC208" i="13"/>
  <c r="U208" i="13"/>
  <c r="V208" i="13"/>
  <c r="U253" i="13"/>
  <c r="V253" i="13"/>
  <c r="X305" i="13"/>
  <c r="U305" i="13"/>
  <c r="V305" i="13"/>
  <c r="U337" i="13"/>
  <c r="V337" i="13"/>
  <c r="AE19" i="13"/>
  <c r="U19" i="13"/>
  <c r="V19" i="13"/>
  <c r="AE27" i="13"/>
  <c r="U27" i="13"/>
  <c r="V27" i="13"/>
  <c r="AE35" i="13"/>
  <c r="U35" i="13"/>
  <c r="V35" i="13"/>
  <c r="AE43" i="13"/>
  <c r="U43" i="13"/>
  <c r="V43" i="13"/>
  <c r="AE51" i="13"/>
  <c r="U51" i="13"/>
  <c r="V51" i="13"/>
  <c r="U59" i="13"/>
  <c r="V59" i="13"/>
  <c r="U67" i="13"/>
  <c r="V67" i="13"/>
  <c r="X73" i="13"/>
  <c r="U73" i="13"/>
  <c r="V73" i="13"/>
  <c r="AB81" i="13"/>
  <c r="U81" i="13"/>
  <c r="V81" i="13"/>
  <c r="AB89" i="13"/>
  <c r="U89" i="13"/>
  <c r="V89" i="13"/>
  <c r="X97" i="13"/>
  <c r="U97" i="13"/>
  <c r="V97" i="13"/>
  <c r="X105" i="13"/>
  <c r="U105" i="13"/>
  <c r="V105" i="13"/>
  <c r="X113" i="13"/>
  <c r="U113" i="13"/>
  <c r="V113" i="13"/>
  <c r="X121" i="13"/>
  <c r="U121" i="13"/>
  <c r="V121" i="13"/>
  <c r="U130" i="13"/>
  <c r="V130" i="13"/>
  <c r="U134" i="13"/>
  <c r="V134" i="13"/>
  <c r="U137" i="13"/>
  <c r="V137" i="13"/>
  <c r="U149" i="13"/>
  <c r="V149" i="13"/>
  <c r="U188" i="13"/>
  <c r="V188" i="13"/>
  <c r="U196" i="13"/>
  <c r="V196" i="13"/>
  <c r="U223" i="13"/>
  <c r="V223" i="13"/>
  <c r="AE236" i="13"/>
  <c r="U236" i="13"/>
  <c r="V236" i="13"/>
  <c r="U244" i="13"/>
  <c r="V244" i="13"/>
  <c r="U252" i="13"/>
  <c r="V252" i="13"/>
  <c r="U260" i="13"/>
  <c r="V260" i="13"/>
  <c r="AC268" i="13"/>
  <c r="U268" i="13"/>
  <c r="V268" i="13"/>
  <c r="AE279" i="13"/>
  <c r="U279" i="13"/>
  <c r="V279" i="13"/>
  <c r="AE293" i="13"/>
  <c r="U293" i="13"/>
  <c r="V293" i="13"/>
  <c r="AC301" i="13"/>
  <c r="U301" i="13"/>
  <c r="V301" i="13"/>
  <c r="U304" i="13"/>
  <c r="V304" i="13"/>
  <c r="U312" i="13"/>
  <c r="V312" i="13"/>
  <c r="AB320" i="13"/>
  <c r="U320" i="13"/>
  <c r="V320" i="13"/>
  <c r="AC324" i="13"/>
  <c r="U324" i="13"/>
  <c r="V324" i="13"/>
  <c r="U330" i="13"/>
  <c r="V330" i="13"/>
  <c r="AB336" i="13"/>
  <c r="U336" i="13"/>
  <c r="V336" i="13"/>
  <c r="X344" i="13"/>
  <c r="U344" i="13"/>
  <c r="V344" i="13"/>
  <c r="AB352" i="13"/>
  <c r="U352" i="13"/>
  <c r="V352" i="13"/>
  <c r="AB360" i="13"/>
  <c r="U360" i="13"/>
  <c r="V360" i="13"/>
  <c r="U366" i="13"/>
  <c r="V366" i="13"/>
  <c r="U374" i="13"/>
  <c r="V374" i="13"/>
  <c r="U380" i="13"/>
  <c r="V380" i="13"/>
  <c r="U388" i="13"/>
  <c r="V388" i="13"/>
  <c r="AC401" i="13"/>
  <c r="U401" i="13"/>
  <c r="V401" i="13"/>
  <c r="U406" i="13"/>
  <c r="V406" i="13"/>
  <c r="U414" i="13"/>
  <c r="V414" i="13"/>
  <c r="AB36" i="13"/>
  <c r="U36" i="13"/>
  <c r="V36" i="13"/>
  <c r="AC90" i="13"/>
  <c r="U90" i="13"/>
  <c r="V90" i="13"/>
  <c r="U150" i="13"/>
  <c r="V150" i="13"/>
  <c r="U269" i="13"/>
  <c r="V269" i="13"/>
  <c r="AC345" i="13"/>
  <c r="U345" i="13"/>
  <c r="V345" i="13"/>
  <c r="U22" i="13"/>
  <c r="V22" i="13"/>
  <c r="U30" i="13"/>
  <c r="V30" i="13"/>
  <c r="U38" i="13"/>
  <c r="V38" i="13"/>
  <c r="U46" i="13"/>
  <c r="V46" i="13"/>
  <c r="U54" i="13"/>
  <c r="V54" i="13"/>
  <c r="AC62" i="13"/>
  <c r="U62" i="13"/>
  <c r="V62" i="13"/>
  <c r="U68" i="13"/>
  <c r="V68" i="13"/>
  <c r="U76" i="13"/>
  <c r="V76" i="13"/>
  <c r="AB84" i="13"/>
  <c r="U84" i="13"/>
  <c r="V84" i="13"/>
  <c r="AB92" i="13"/>
  <c r="U92" i="13"/>
  <c r="V92" i="13"/>
  <c r="AB100" i="13"/>
  <c r="U100" i="13"/>
  <c r="V100" i="13"/>
  <c r="AB108" i="13"/>
  <c r="U108" i="13"/>
  <c r="V108" i="13"/>
  <c r="AB116" i="13"/>
  <c r="U116" i="13"/>
  <c r="V116" i="13"/>
  <c r="AB124" i="13"/>
  <c r="U124" i="13"/>
  <c r="V124" i="13"/>
  <c r="AC141" i="13"/>
  <c r="U141" i="13"/>
  <c r="V141" i="13"/>
  <c r="AB144" i="13"/>
  <c r="U144" i="13"/>
  <c r="V144" i="13"/>
  <c r="U152" i="13"/>
  <c r="V152" i="13"/>
  <c r="X191" i="13"/>
  <c r="U191" i="13"/>
  <c r="V191" i="13"/>
  <c r="AC200" i="13"/>
  <c r="U200" i="13"/>
  <c r="V200" i="13"/>
  <c r="AC207" i="13"/>
  <c r="U207" i="13"/>
  <c r="V207" i="13"/>
  <c r="AC211" i="13"/>
  <c r="U211" i="13"/>
  <c r="V211" i="13"/>
  <c r="U215" i="13"/>
  <c r="V215" i="13"/>
  <c r="U218" i="13"/>
  <c r="V218" i="13"/>
  <c r="U226" i="13"/>
  <c r="V226" i="13"/>
  <c r="AC230" i="13"/>
  <c r="U230" i="13"/>
  <c r="V230" i="13"/>
  <c r="AE239" i="13"/>
  <c r="U239" i="13"/>
  <c r="V239" i="13"/>
  <c r="AE247" i="13"/>
  <c r="U247" i="13"/>
  <c r="V247" i="13"/>
  <c r="U255" i="13"/>
  <c r="V255" i="13"/>
  <c r="AE263" i="13"/>
  <c r="U263" i="13"/>
  <c r="V263" i="13"/>
  <c r="U271" i="13"/>
  <c r="V271" i="13"/>
  <c r="X282" i="13"/>
  <c r="U282" i="13"/>
  <c r="V282" i="13"/>
  <c r="X288" i="13"/>
  <c r="U288" i="13"/>
  <c r="V288" i="13"/>
  <c r="X296" i="13"/>
  <c r="U296" i="13"/>
  <c r="V296" i="13"/>
  <c r="U307" i="13"/>
  <c r="V307" i="13"/>
  <c r="AB315" i="13"/>
  <c r="U315" i="13"/>
  <c r="V315" i="13"/>
  <c r="U325" i="13"/>
  <c r="V325" i="13"/>
  <c r="AB333" i="13"/>
  <c r="U333" i="13"/>
  <c r="V333" i="13"/>
  <c r="U339" i="13"/>
  <c r="V339" i="13"/>
  <c r="AB347" i="13"/>
  <c r="U347" i="13"/>
  <c r="V347" i="13"/>
  <c r="AB355" i="13"/>
  <c r="U355" i="13"/>
  <c r="V355" i="13"/>
  <c r="U369" i="13"/>
  <c r="V369" i="13"/>
  <c r="U375" i="13"/>
  <c r="V375" i="13"/>
  <c r="U383" i="13"/>
  <c r="V383" i="13"/>
  <c r="U389" i="13"/>
  <c r="V389" i="13"/>
  <c r="AC393" i="13"/>
  <c r="U393" i="13"/>
  <c r="V393" i="13"/>
  <c r="V409" i="13"/>
  <c r="U409" i="13"/>
  <c r="U418" i="13"/>
  <c r="V418" i="13"/>
  <c r="U424" i="13"/>
  <c r="V424" i="13"/>
  <c r="V18" i="13"/>
  <c r="U18" i="13"/>
  <c r="AE74" i="13"/>
  <c r="U74" i="13"/>
  <c r="V74" i="13"/>
  <c r="AC114" i="13"/>
  <c r="U114" i="13"/>
  <c r="V114" i="13"/>
  <c r="X216" i="13"/>
  <c r="U216" i="13"/>
  <c r="V216" i="13"/>
  <c r="AC280" i="13"/>
  <c r="U280" i="13"/>
  <c r="V280" i="13"/>
  <c r="AC361" i="13"/>
  <c r="U361" i="13"/>
  <c r="V361" i="13"/>
  <c r="U25" i="13"/>
  <c r="V25" i="13"/>
  <c r="X33" i="13"/>
  <c r="U33" i="13"/>
  <c r="V33" i="13"/>
  <c r="U41" i="13"/>
  <c r="V41" i="13"/>
  <c r="U49" i="13"/>
  <c r="V49" i="13"/>
  <c r="X57" i="13"/>
  <c r="U57" i="13"/>
  <c r="V57" i="13"/>
  <c r="X65" i="13"/>
  <c r="U65" i="13"/>
  <c r="V65" i="13"/>
  <c r="U71" i="13"/>
  <c r="V71" i="13"/>
  <c r="U79" i="13"/>
  <c r="V79" i="13"/>
  <c r="AE87" i="13"/>
  <c r="U87" i="13"/>
  <c r="V87" i="13"/>
  <c r="AE95" i="13"/>
  <c r="U95" i="13"/>
  <c r="V95" i="13"/>
  <c r="AE103" i="13"/>
  <c r="U103" i="13"/>
  <c r="V103" i="13"/>
  <c r="AE111" i="13"/>
  <c r="U111" i="13"/>
  <c r="V111" i="13"/>
  <c r="AE119" i="13"/>
  <c r="U119" i="13"/>
  <c r="V119" i="13"/>
  <c r="X127" i="13"/>
  <c r="U127" i="13"/>
  <c r="V127" i="13"/>
  <c r="U131" i="13"/>
  <c r="V131" i="13"/>
  <c r="U135" i="13"/>
  <c r="V135" i="13"/>
  <c r="AB147" i="13"/>
  <c r="U147" i="13"/>
  <c r="V147" i="13"/>
  <c r="AB184" i="13"/>
  <c r="U184" i="13"/>
  <c r="V184" i="13"/>
  <c r="AB194" i="13"/>
  <c r="U194" i="13"/>
  <c r="V194" i="13"/>
  <c r="U201" i="13"/>
  <c r="V201" i="13"/>
  <c r="AB221" i="13"/>
  <c r="U221" i="13"/>
  <c r="V221" i="13"/>
  <c r="U242" i="13"/>
  <c r="V242" i="13"/>
  <c r="U250" i="13"/>
  <c r="V250" i="13"/>
  <c r="AB258" i="13"/>
  <c r="U258" i="13"/>
  <c r="V258" i="13"/>
  <c r="AB266" i="13"/>
  <c r="U266" i="13"/>
  <c r="V266" i="13"/>
  <c r="U274" i="13"/>
  <c r="V274" i="13"/>
  <c r="AE277" i="13"/>
  <c r="U277" i="13"/>
  <c r="V277" i="13"/>
  <c r="U285" i="13"/>
  <c r="V285" i="13"/>
  <c r="AE291" i="13"/>
  <c r="U291" i="13"/>
  <c r="V291" i="13"/>
  <c r="AE299" i="13"/>
  <c r="U299" i="13"/>
  <c r="V299" i="13"/>
  <c r="AE302" i="13"/>
  <c r="U302" i="13"/>
  <c r="V302" i="13"/>
  <c r="AE310" i="13"/>
  <c r="U310" i="13"/>
  <c r="V310" i="13"/>
  <c r="AC318" i="13"/>
  <c r="U318" i="13"/>
  <c r="V318" i="13"/>
  <c r="U328" i="13"/>
  <c r="V328" i="13"/>
  <c r="AC342" i="13"/>
  <c r="U342" i="13"/>
  <c r="V342" i="13"/>
  <c r="AC350" i="13"/>
  <c r="U350" i="13"/>
  <c r="V350" i="13"/>
  <c r="AC358" i="13"/>
  <c r="U358" i="13"/>
  <c r="V358" i="13"/>
  <c r="X364" i="13"/>
  <c r="U364" i="13"/>
  <c r="V364" i="13"/>
  <c r="AC370" i="13"/>
  <c r="U370" i="13"/>
  <c r="V370" i="13"/>
  <c r="AC376" i="13"/>
  <c r="U376" i="13"/>
  <c r="V376" i="13"/>
  <c r="AE386" i="13"/>
  <c r="U386" i="13"/>
  <c r="V386" i="13"/>
  <c r="AB390" i="13"/>
  <c r="U390" i="13"/>
  <c r="V390" i="13"/>
  <c r="U402" i="13"/>
  <c r="V402" i="13"/>
  <c r="U412" i="13"/>
  <c r="V412" i="13"/>
  <c r="N154" i="13"/>
  <c r="X154" i="13" s="1"/>
  <c r="N155" i="13"/>
  <c r="AC155" i="13" s="1"/>
  <c r="N153" i="13"/>
  <c r="X153" i="13" s="1"/>
  <c r="N156" i="13"/>
  <c r="AZ323" i="13"/>
  <c r="AZ369" i="13"/>
  <c r="AZ324" i="13"/>
  <c r="AZ388" i="13"/>
  <c r="AZ200" i="13"/>
  <c r="AZ373" i="13"/>
  <c r="AZ389" i="13"/>
  <c r="AZ201" i="13"/>
  <c r="AZ227" i="13"/>
  <c r="AZ374" i="13"/>
  <c r="AZ403" i="13"/>
  <c r="AZ202" i="13"/>
  <c r="AZ228" i="13"/>
  <c r="AZ375" i="13"/>
  <c r="AZ231" i="13"/>
  <c r="AZ371" i="13"/>
  <c r="AZ203" i="13"/>
  <c r="AZ376" i="13"/>
  <c r="AZ428" i="13"/>
  <c r="AZ67" i="13"/>
  <c r="AZ204" i="13"/>
  <c r="AZ377" i="13"/>
  <c r="AZ429" i="13"/>
  <c r="V23" i="14"/>
  <c r="AZ28" i="13"/>
  <c r="V47" i="14"/>
  <c r="AZ52" i="13"/>
  <c r="V63" i="14"/>
  <c r="AZ68" i="13"/>
  <c r="V87" i="14"/>
  <c r="AZ92" i="13"/>
  <c r="V111" i="14"/>
  <c r="AZ116" i="13"/>
  <c r="V145" i="14"/>
  <c r="AZ150" i="13"/>
  <c r="V216" i="14"/>
  <c r="AZ221" i="13"/>
  <c r="V245" i="14"/>
  <c r="AZ250" i="13"/>
  <c r="V277" i="14"/>
  <c r="AZ282" i="13"/>
  <c r="V341" i="14"/>
  <c r="AZ346" i="13"/>
  <c r="V15" i="14"/>
  <c r="AZ20" i="13"/>
  <c r="V31" i="14"/>
  <c r="AZ36" i="13"/>
  <c r="V39" i="14"/>
  <c r="AZ44" i="13"/>
  <c r="V55" i="14"/>
  <c r="AZ60" i="13"/>
  <c r="V71" i="14"/>
  <c r="AZ76" i="13"/>
  <c r="V79" i="14"/>
  <c r="AZ84" i="13"/>
  <c r="V95" i="14"/>
  <c r="AZ100" i="13"/>
  <c r="V103" i="14"/>
  <c r="AZ108" i="13"/>
  <c r="V119" i="14"/>
  <c r="AZ124" i="13"/>
  <c r="V128" i="14"/>
  <c r="AZ133" i="13"/>
  <c r="V137" i="14"/>
  <c r="R142" i="13"/>
  <c r="N142" i="13" s="1"/>
  <c r="AB142" i="13" s="1"/>
  <c r="V156" i="14"/>
  <c r="V171" i="14"/>
  <c r="AZ176" i="13"/>
  <c r="V184" i="14"/>
  <c r="AZ189" i="13"/>
  <c r="V192" i="14"/>
  <c r="AZ197" i="13"/>
  <c r="V208" i="14"/>
  <c r="AZ213" i="13"/>
  <c r="V237" i="14"/>
  <c r="AZ242" i="13"/>
  <c r="V253" i="14"/>
  <c r="AZ258" i="13"/>
  <c r="V261" i="14"/>
  <c r="AZ266" i="13"/>
  <c r="V269" i="14"/>
  <c r="AZ274" i="13"/>
  <c r="V285" i="14"/>
  <c r="AZ290" i="13"/>
  <c r="V293" i="14"/>
  <c r="AZ298" i="13"/>
  <c r="V301" i="14"/>
  <c r="AZ306" i="13"/>
  <c r="V309" i="14"/>
  <c r="AZ314" i="13"/>
  <c r="V325" i="14"/>
  <c r="AZ330" i="13"/>
  <c r="V333" i="14"/>
  <c r="AZ338" i="13"/>
  <c r="V349" i="14"/>
  <c r="AZ354" i="13"/>
  <c r="V357" i="14"/>
  <c r="AZ362" i="13"/>
  <c r="V381" i="14"/>
  <c r="AZ386" i="13"/>
  <c r="V389" i="14"/>
  <c r="AZ394" i="13"/>
  <c r="V397" i="14"/>
  <c r="AZ402" i="13"/>
  <c r="V406" i="14"/>
  <c r="AZ411" i="13"/>
  <c r="V415" i="14"/>
  <c r="AZ420" i="13"/>
  <c r="V16" i="14"/>
  <c r="AZ21" i="13"/>
  <c r="V24" i="14"/>
  <c r="AZ29" i="13"/>
  <c r="V32" i="14"/>
  <c r="AZ37" i="13"/>
  <c r="V40" i="14"/>
  <c r="AZ45" i="13"/>
  <c r="V48" i="14"/>
  <c r="AZ53" i="13"/>
  <c r="V56" i="14"/>
  <c r="AZ61" i="13"/>
  <c r="V64" i="14"/>
  <c r="AZ69" i="13"/>
  <c r="V72" i="14"/>
  <c r="AZ77" i="13"/>
  <c r="V80" i="14"/>
  <c r="AZ85" i="13"/>
  <c r="V88" i="14"/>
  <c r="AZ93" i="13"/>
  <c r="V96" i="14"/>
  <c r="AZ101" i="13"/>
  <c r="V104" i="14"/>
  <c r="AZ109" i="13"/>
  <c r="V112" i="14"/>
  <c r="AZ117" i="13"/>
  <c r="V120" i="14"/>
  <c r="AZ125" i="13"/>
  <c r="V129" i="14"/>
  <c r="AZ134" i="13"/>
  <c r="V138" i="14"/>
  <c r="AZ143" i="13"/>
  <c r="V146" i="14"/>
  <c r="AZ151" i="13"/>
  <c r="V157" i="14"/>
  <c r="V172" i="14"/>
  <c r="AZ177" i="13"/>
  <c r="V185" i="14"/>
  <c r="AZ190" i="13"/>
  <c r="V193" i="14"/>
  <c r="AZ198" i="13"/>
  <c r="V201" i="14"/>
  <c r="AZ206" i="13"/>
  <c r="V209" i="14"/>
  <c r="AZ214" i="13"/>
  <c r="V217" i="14"/>
  <c r="AZ222" i="13"/>
  <c r="V230" i="14"/>
  <c r="AZ235" i="13"/>
  <c r="V238" i="14"/>
  <c r="AZ243" i="13"/>
  <c r="V246" i="14"/>
  <c r="AZ251" i="13"/>
  <c r="V254" i="14"/>
  <c r="AZ259" i="13"/>
  <c r="V262" i="14"/>
  <c r="AZ267" i="13"/>
  <c r="V270" i="14"/>
  <c r="AZ275" i="13"/>
  <c r="V278" i="14"/>
  <c r="AZ283" i="13"/>
  <c r="V286" i="14"/>
  <c r="AZ291" i="13"/>
  <c r="V294" i="14"/>
  <c r="AZ299" i="13"/>
  <c r="V302" i="14"/>
  <c r="AZ307" i="13"/>
  <c r="V310" i="14"/>
  <c r="AZ315" i="13"/>
  <c r="V326" i="14"/>
  <c r="AZ331" i="13"/>
  <c r="V334" i="14"/>
  <c r="AZ339" i="13"/>
  <c r="V342" i="14"/>
  <c r="AZ347" i="13"/>
  <c r="V350" i="14"/>
  <c r="AZ355" i="13"/>
  <c r="V358" i="14"/>
  <c r="AZ363" i="13"/>
  <c r="V374" i="14"/>
  <c r="AZ379" i="13"/>
  <c r="V382" i="14"/>
  <c r="AZ387" i="13"/>
  <c r="V390" i="14"/>
  <c r="AZ395" i="13"/>
  <c r="V407" i="14"/>
  <c r="AZ412" i="13"/>
  <c r="V416" i="14"/>
  <c r="R421" i="13"/>
  <c r="N421" i="13" s="1"/>
  <c r="V25" i="14"/>
  <c r="AZ30" i="13"/>
  <c r="V41" i="14"/>
  <c r="AZ46" i="13"/>
  <c r="V57" i="14"/>
  <c r="AZ62" i="13"/>
  <c r="V73" i="14"/>
  <c r="AZ78" i="13"/>
  <c r="V81" i="14"/>
  <c r="AZ86" i="13"/>
  <c r="V97" i="14"/>
  <c r="AZ102" i="13"/>
  <c r="V113" i="14"/>
  <c r="AZ118" i="13"/>
  <c r="V130" i="14"/>
  <c r="AZ135" i="13"/>
  <c r="V147" i="14"/>
  <c r="AZ152" i="13"/>
  <c r="V173" i="14"/>
  <c r="AZ178" i="13"/>
  <c r="V194" i="14"/>
  <c r="AZ199" i="13"/>
  <c r="V210" i="14"/>
  <c r="AZ215" i="13"/>
  <c r="V231" i="14"/>
  <c r="AZ236" i="13"/>
  <c r="V247" i="14"/>
  <c r="AZ252" i="13"/>
  <c r="V263" i="14"/>
  <c r="AZ268" i="13"/>
  <c r="V287" i="14"/>
  <c r="AZ292" i="13"/>
  <c r="V343" i="14"/>
  <c r="AZ348" i="13"/>
  <c r="V359" i="14"/>
  <c r="AZ364" i="13"/>
  <c r="V417" i="14"/>
  <c r="AZ422" i="13"/>
  <c r="V18" i="14"/>
  <c r="AZ23" i="13"/>
  <c r="V26" i="14"/>
  <c r="AZ31" i="13"/>
  <c r="V34" i="14"/>
  <c r="AZ39" i="13"/>
  <c r="V42" i="14"/>
  <c r="AZ47" i="13"/>
  <c r="V50" i="14"/>
  <c r="AZ55" i="13"/>
  <c r="V58" i="14"/>
  <c r="AZ63" i="13"/>
  <c r="V66" i="14"/>
  <c r="AZ71" i="13"/>
  <c r="V74" i="14"/>
  <c r="AZ79" i="13"/>
  <c r="V82" i="14"/>
  <c r="AZ87" i="13"/>
  <c r="V90" i="14"/>
  <c r="AZ95" i="13"/>
  <c r="V98" i="14"/>
  <c r="AZ103" i="13"/>
  <c r="V106" i="14"/>
  <c r="AZ111" i="13"/>
  <c r="V114" i="14"/>
  <c r="AZ119" i="13"/>
  <c r="V122" i="14"/>
  <c r="AZ127" i="13"/>
  <c r="V131" i="14"/>
  <c r="AZ136" i="13"/>
  <c r="V140" i="14"/>
  <c r="AZ145" i="13"/>
  <c r="V148" i="14"/>
  <c r="V159" i="14"/>
  <c r="V174" i="14"/>
  <c r="AZ179" i="13"/>
  <c r="V187" i="14"/>
  <c r="AZ192" i="13"/>
  <c r="V203" i="14"/>
  <c r="AZ208" i="13"/>
  <c r="V211" i="14"/>
  <c r="AZ216" i="13"/>
  <c r="V221" i="14"/>
  <c r="AZ226" i="13"/>
  <c r="V232" i="14"/>
  <c r="AZ237" i="13"/>
  <c r="V240" i="14"/>
  <c r="AZ245" i="13"/>
  <c r="V248" i="14"/>
  <c r="AZ253" i="13"/>
  <c r="V256" i="14"/>
  <c r="AZ261" i="13"/>
  <c r="V264" i="14"/>
  <c r="AZ269" i="13"/>
  <c r="V272" i="14"/>
  <c r="AZ277" i="13"/>
  <c r="V280" i="14"/>
  <c r="AZ285" i="13"/>
  <c r="V288" i="14"/>
  <c r="AZ293" i="13"/>
  <c r="V296" i="14"/>
  <c r="AZ301" i="13"/>
  <c r="V304" i="14"/>
  <c r="AZ309" i="13"/>
  <c r="V312" i="14"/>
  <c r="AZ317" i="13"/>
  <c r="V320" i="14"/>
  <c r="AZ325" i="13"/>
  <c r="V328" i="14"/>
  <c r="AZ333" i="13"/>
  <c r="V336" i="14"/>
  <c r="AZ341" i="13"/>
  <c r="V344" i="14"/>
  <c r="AZ349" i="13"/>
  <c r="V352" i="14"/>
  <c r="AZ357" i="13"/>
  <c r="V360" i="14"/>
  <c r="AZ365" i="13"/>
  <c r="V376" i="14"/>
  <c r="AZ381" i="13"/>
  <c r="V392" i="14"/>
  <c r="AZ397" i="13"/>
  <c r="V401" i="14"/>
  <c r="AZ406" i="13"/>
  <c r="V409" i="14"/>
  <c r="AZ414" i="13"/>
  <c r="V418" i="14"/>
  <c r="R423" i="13"/>
  <c r="N423" i="13" s="1"/>
  <c r="V17" i="14"/>
  <c r="AZ22" i="13"/>
  <c r="V33" i="14"/>
  <c r="AZ38" i="13"/>
  <c r="V49" i="14"/>
  <c r="AZ54" i="13"/>
  <c r="V65" i="14"/>
  <c r="AZ70" i="13"/>
  <c r="V89" i="14"/>
  <c r="AZ94" i="13"/>
  <c r="V105" i="14"/>
  <c r="AZ110" i="13"/>
  <c r="V121" i="14"/>
  <c r="AZ126" i="13"/>
  <c r="V139" i="14"/>
  <c r="AZ144" i="13"/>
  <c r="V158" i="14"/>
  <c r="V186" i="14"/>
  <c r="AZ191" i="13"/>
  <c r="V202" i="14"/>
  <c r="AZ207" i="13"/>
  <c r="V218" i="14"/>
  <c r="AZ223" i="13"/>
  <c r="V239" i="14"/>
  <c r="AZ244" i="13"/>
  <c r="V255" i="14"/>
  <c r="AZ260" i="13"/>
  <c r="V271" i="14"/>
  <c r="AZ276" i="13"/>
  <c r="V279" i="14"/>
  <c r="AZ284" i="13"/>
  <c r="V295" i="14"/>
  <c r="AZ300" i="13"/>
  <c r="V303" i="14"/>
  <c r="AZ308" i="13"/>
  <c r="V311" i="14"/>
  <c r="AZ316" i="13"/>
  <c r="V327" i="14"/>
  <c r="AZ332" i="13"/>
  <c r="V335" i="14"/>
  <c r="AZ340" i="13"/>
  <c r="V351" i="14"/>
  <c r="AZ356" i="13"/>
  <c r="V367" i="14"/>
  <c r="AZ372" i="13"/>
  <c r="V375" i="14"/>
  <c r="AZ380" i="13"/>
  <c r="V391" i="14"/>
  <c r="AZ396" i="13"/>
  <c r="V400" i="14"/>
  <c r="AZ405" i="13"/>
  <c r="V408" i="14"/>
  <c r="AZ413" i="13"/>
  <c r="V13" i="14"/>
  <c r="AZ18" i="13"/>
  <c r="V19" i="14"/>
  <c r="AZ24" i="13"/>
  <c r="V27" i="14"/>
  <c r="AZ32" i="13"/>
  <c r="V35" i="14"/>
  <c r="AZ40" i="13"/>
  <c r="V43" i="14"/>
  <c r="AZ48" i="13"/>
  <c r="V51" i="14"/>
  <c r="AZ56" i="13"/>
  <c r="V59" i="14"/>
  <c r="AZ64" i="13"/>
  <c r="V67" i="14"/>
  <c r="AZ72" i="13"/>
  <c r="V75" i="14"/>
  <c r="AZ80" i="13"/>
  <c r="V83" i="14"/>
  <c r="AZ88" i="13"/>
  <c r="V91" i="14"/>
  <c r="AZ96" i="13"/>
  <c r="V99" i="14"/>
  <c r="AZ104" i="13"/>
  <c r="V107" i="14"/>
  <c r="AZ112" i="13"/>
  <c r="V115" i="14"/>
  <c r="AZ120" i="13"/>
  <c r="V123" i="14"/>
  <c r="R128" i="13"/>
  <c r="N128" i="13" s="1"/>
  <c r="V132" i="14"/>
  <c r="AZ137" i="13"/>
  <c r="V141" i="14"/>
  <c r="AZ146" i="13"/>
  <c r="V149" i="14"/>
  <c r="V160" i="14"/>
  <c r="V175" i="14"/>
  <c r="AZ180" i="13"/>
  <c r="V188" i="14"/>
  <c r="AZ193" i="13"/>
  <c r="V204" i="14"/>
  <c r="AZ209" i="13"/>
  <c r="V212" i="14"/>
  <c r="AZ217" i="13"/>
  <c r="V233" i="14"/>
  <c r="AZ238" i="13"/>
  <c r="V241" i="14"/>
  <c r="AZ246" i="13"/>
  <c r="V249" i="14"/>
  <c r="AZ254" i="13"/>
  <c r="V257" i="14"/>
  <c r="AZ262" i="13"/>
  <c r="V265" i="14"/>
  <c r="AZ270" i="13"/>
  <c r="V273" i="14"/>
  <c r="AZ278" i="13"/>
  <c r="V281" i="14"/>
  <c r="AZ286" i="13"/>
  <c r="V289" i="14"/>
  <c r="AZ294" i="13"/>
  <c r="V297" i="14"/>
  <c r="AZ302" i="13"/>
  <c r="V305" i="14"/>
  <c r="AZ310" i="13"/>
  <c r="V313" i="14"/>
  <c r="AZ318" i="13"/>
  <c r="V321" i="14"/>
  <c r="AZ326" i="13"/>
  <c r="V329" i="14"/>
  <c r="AZ334" i="13"/>
  <c r="V337" i="14"/>
  <c r="AZ342" i="13"/>
  <c r="V345" i="14"/>
  <c r="AZ350" i="13"/>
  <c r="V353" i="14"/>
  <c r="AZ358" i="13"/>
  <c r="V361" i="14"/>
  <c r="AZ366" i="13"/>
  <c r="V377" i="14"/>
  <c r="AZ382" i="13"/>
  <c r="V385" i="14"/>
  <c r="AZ390" i="13"/>
  <c r="V393" i="14"/>
  <c r="AZ398" i="13"/>
  <c r="V402" i="14"/>
  <c r="AZ407" i="13"/>
  <c r="V410" i="14"/>
  <c r="AZ415" i="13"/>
  <c r="V419" i="14"/>
  <c r="AZ424" i="13"/>
  <c r="V20" i="14"/>
  <c r="AZ25" i="13"/>
  <c r="V28" i="14"/>
  <c r="AZ33" i="13"/>
  <c r="V36" i="14"/>
  <c r="AZ41" i="13"/>
  <c r="V44" i="14"/>
  <c r="AZ49" i="13"/>
  <c r="V52" i="14"/>
  <c r="AZ57" i="13"/>
  <c r="V60" i="14"/>
  <c r="AZ65" i="13"/>
  <c r="V68" i="14"/>
  <c r="AZ73" i="13"/>
  <c r="V76" i="14"/>
  <c r="AZ81" i="13"/>
  <c r="V84" i="14"/>
  <c r="AZ89" i="13"/>
  <c r="V92" i="14"/>
  <c r="AZ97" i="13"/>
  <c r="V100" i="14"/>
  <c r="AZ105" i="13"/>
  <c r="V108" i="14"/>
  <c r="AZ113" i="13"/>
  <c r="V116" i="14"/>
  <c r="AZ121" i="13"/>
  <c r="V125" i="14"/>
  <c r="AZ130" i="13"/>
  <c r="V133" i="14"/>
  <c r="AZ138" i="13"/>
  <c r="V142" i="14"/>
  <c r="AZ147" i="13"/>
  <c r="V150" i="14"/>
  <c r="V161" i="14"/>
  <c r="V179" i="14"/>
  <c r="AZ184" i="13"/>
  <c r="V189" i="14"/>
  <c r="AZ194" i="13"/>
  <c r="V205" i="14"/>
  <c r="AZ210" i="13"/>
  <c r="V213" i="14"/>
  <c r="AZ218" i="13"/>
  <c r="V234" i="14"/>
  <c r="AZ239" i="13"/>
  <c r="V242" i="14"/>
  <c r="AZ247" i="13"/>
  <c r="V250" i="14"/>
  <c r="AZ255" i="13"/>
  <c r="V258" i="14"/>
  <c r="AZ263" i="13"/>
  <c r="V266" i="14"/>
  <c r="AZ271" i="13"/>
  <c r="V274" i="14"/>
  <c r="AZ279" i="13"/>
  <c r="V282" i="14"/>
  <c r="AZ287" i="13"/>
  <c r="V290" i="14"/>
  <c r="AZ295" i="13"/>
  <c r="V298" i="14"/>
  <c r="AZ303" i="13"/>
  <c r="V306" i="14"/>
  <c r="AZ311" i="13"/>
  <c r="V314" i="14"/>
  <c r="AZ319" i="13"/>
  <c r="V322" i="14"/>
  <c r="AZ327" i="13"/>
  <c r="V338" i="14"/>
  <c r="AZ343" i="13"/>
  <c r="V346" i="14"/>
  <c r="AZ351" i="13"/>
  <c r="V354" i="14"/>
  <c r="AZ359" i="13"/>
  <c r="V362" i="14"/>
  <c r="AZ367" i="13"/>
  <c r="V378" i="14"/>
  <c r="AZ383" i="13"/>
  <c r="V386" i="14"/>
  <c r="AZ391" i="13"/>
  <c r="V394" i="14"/>
  <c r="AZ399" i="13"/>
  <c r="V403" i="14"/>
  <c r="AZ408" i="13"/>
  <c r="V411" i="14"/>
  <c r="AZ416" i="13"/>
  <c r="V422" i="14"/>
  <c r="AZ427" i="13"/>
  <c r="V21" i="14"/>
  <c r="AZ26" i="13"/>
  <c r="V29" i="14"/>
  <c r="AZ34" i="13"/>
  <c r="V37" i="14"/>
  <c r="AZ42" i="13"/>
  <c r="V45" i="14"/>
  <c r="AZ50" i="13"/>
  <c r="V53" i="14"/>
  <c r="AZ58" i="13"/>
  <c r="V61" i="14"/>
  <c r="AZ66" i="13"/>
  <c r="V69" i="14"/>
  <c r="AZ74" i="13"/>
  <c r="V77" i="14"/>
  <c r="AZ82" i="13"/>
  <c r="V85" i="14"/>
  <c r="AZ90" i="13"/>
  <c r="V93" i="14"/>
  <c r="AZ98" i="13"/>
  <c r="V101" i="14"/>
  <c r="AZ106" i="13"/>
  <c r="V109" i="14"/>
  <c r="AZ114" i="13"/>
  <c r="V117" i="14"/>
  <c r="AZ122" i="13"/>
  <c r="V126" i="14"/>
  <c r="AZ131" i="13"/>
  <c r="V135" i="14"/>
  <c r="AZ140" i="13"/>
  <c r="V143" i="14"/>
  <c r="AZ148" i="13"/>
  <c r="V151" i="14"/>
  <c r="V162" i="14"/>
  <c r="V181" i="14"/>
  <c r="AZ186" i="13"/>
  <c r="V190" i="14"/>
  <c r="AZ195" i="13"/>
  <c r="V206" i="14"/>
  <c r="AZ211" i="13"/>
  <c r="V214" i="14"/>
  <c r="AZ219" i="13"/>
  <c r="V224" i="14"/>
  <c r="AZ229" i="13"/>
  <c r="V235" i="14"/>
  <c r="AZ240" i="13"/>
  <c r="V243" i="14"/>
  <c r="AZ248" i="13"/>
  <c r="V251" i="14"/>
  <c r="AZ256" i="13"/>
  <c r="V259" i="14"/>
  <c r="AZ264" i="13"/>
  <c r="V267" i="14"/>
  <c r="AZ272" i="13"/>
  <c r="V275" i="14"/>
  <c r="AZ280" i="13"/>
  <c r="V283" i="14"/>
  <c r="AZ288" i="13"/>
  <c r="V291" i="14"/>
  <c r="AZ296" i="13"/>
  <c r="V299" i="14"/>
  <c r="AZ304" i="13"/>
  <c r="V307" i="14"/>
  <c r="AZ312" i="13"/>
  <c r="V315" i="14"/>
  <c r="AZ320" i="13"/>
  <c r="V323" i="14"/>
  <c r="AZ328" i="13"/>
  <c r="V331" i="14"/>
  <c r="AZ336" i="13"/>
  <c r="V339" i="14"/>
  <c r="AZ344" i="13"/>
  <c r="V347" i="14"/>
  <c r="AZ352" i="13"/>
  <c r="V355" i="14"/>
  <c r="AZ360" i="13"/>
  <c r="V363" i="14"/>
  <c r="AZ368" i="13"/>
  <c r="V379" i="14"/>
  <c r="AZ384" i="13"/>
  <c r="V387" i="14"/>
  <c r="R392" i="13"/>
  <c r="N392" i="13" s="1"/>
  <c r="AZ392" i="13" s="1"/>
  <c r="V395" i="14"/>
  <c r="AZ400" i="13"/>
  <c r="V404" i="14"/>
  <c r="AZ409" i="13"/>
  <c r="V413" i="14"/>
  <c r="AZ418" i="13"/>
  <c r="V14" i="14"/>
  <c r="AZ19" i="13"/>
  <c r="V22" i="14"/>
  <c r="AZ27" i="13"/>
  <c r="V30" i="14"/>
  <c r="AZ35" i="13"/>
  <c r="V38" i="14"/>
  <c r="AZ43" i="13"/>
  <c r="V46" i="14"/>
  <c r="AZ51" i="13"/>
  <c r="V54" i="14"/>
  <c r="AZ59" i="13"/>
  <c r="V70" i="14"/>
  <c r="AZ75" i="13"/>
  <c r="V78" i="14"/>
  <c r="AZ83" i="13"/>
  <c r="V86" i="14"/>
  <c r="AZ91" i="13"/>
  <c r="V94" i="14"/>
  <c r="AZ99" i="13"/>
  <c r="V102" i="14"/>
  <c r="AZ107" i="13"/>
  <c r="V110" i="14"/>
  <c r="AZ115" i="13"/>
  <c r="V118" i="14"/>
  <c r="AZ123" i="13"/>
  <c r="V127" i="14"/>
  <c r="AZ132" i="13"/>
  <c r="V136" i="14"/>
  <c r="AZ141" i="13"/>
  <c r="V144" i="14"/>
  <c r="AZ149" i="13"/>
  <c r="V153" i="14"/>
  <c r="V163" i="14"/>
  <c r="V183" i="14"/>
  <c r="AZ188" i="13"/>
  <c r="V191" i="14"/>
  <c r="AZ196" i="13"/>
  <c r="V207" i="14"/>
  <c r="R212" i="13"/>
  <c r="N212" i="13" s="1"/>
  <c r="V215" i="14"/>
  <c r="AZ220" i="13"/>
  <c r="V225" i="14"/>
  <c r="AZ230" i="13"/>
  <c r="V236" i="14"/>
  <c r="AZ241" i="13"/>
  <c r="V244" i="14"/>
  <c r="AZ249" i="13"/>
  <c r="V252" i="14"/>
  <c r="AZ257" i="13"/>
  <c r="V260" i="14"/>
  <c r="AZ265" i="13"/>
  <c r="V268" i="14"/>
  <c r="AZ273" i="13"/>
  <c r="V276" i="14"/>
  <c r="AZ281" i="13"/>
  <c r="V284" i="14"/>
  <c r="AZ289" i="13"/>
  <c r="V292" i="14"/>
  <c r="AZ297" i="13"/>
  <c r="V300" i="14"/>
  <c r="AZ305" i="13"/>
  <c r="V308" i="14"/>
  <c r="AZ313" i="13"/>
  <c r="V316" i="14"/>
  <c r="AZ321" i="13"/>
  <c r="V324" i="14"/>
  <c r="AZ329" i="13"/>
  <c r="V332" i="14"/>
  <c r="AZ337" i="13"/>
  <c r="V340" i="14"/>
  <c r="AZ345" i="13"/>
  <c r="V348" i="14"/>
  <c r="AZ353" i="13"/>
  <c r="V356" i="14"/>
  <c r="AZ361" i="13"/>
  <c r="V380" i="14"/>
  <c r="AZ385" i="13"/>
  <c r="V388" i="14"/>
  <c r="AZ393" i="13"/>
  <c r="V396" i="14"/>
  <c r="AZ401" i="13"/>
  <c r="V405" i="14"/>
  <c r="AZ410" i="13"/>
  <c r="V414" i="14"/>
  <c r="AZ419" i="13"/>
  <c r="AB129" i="13"/>
  <c r="AZ129" i="13"/>
  <c r="AB166" i="13"/>
  <c r="AC335" i="13"/>
  <c r="AZ335" i="13"/>
  <c r="AB398" i="13"/>
  <c r="X396" i="13"/>
  <c r="X395" i="13"/>
  <c r="X399" i="13"/>
  <c r="AB396" i="13"/>
  <c r="X229" i="13"/>
  <c r="AC321" i="13"/>
  <c r="AB395" i="13"/>
  <c r="AC396" i="13"/>
  <c r="X398" i="13"/>
  <c r="AB399" i="13"/>
  <c r="AC395" i="13"/>
  <c r="AC398" i="13"/>
  <c r="AC364" i="13"/>
  <c r="X368" i="13"/>
  <c r="X81" i="13"/>
  <c r="AE351" i="13"/>
  <c r="AC292" i="13"/>
  <c r="E12" i="14"/>
  <c r="AE166" i="13"/>
  <c r="AC302" i="13"/>
  <c r="X331" i="13"/>
  <c r="AE331" i="13"/>
  <c r="X69" i="13"/>
  <c r="AE216" i="13"/>
  <c r="AC162" i="13"/>
  <c r="X302" i="13"/>
  <c r="X25" i="13"/>
  <c r="AB25" i="13"/>
  <c r="AB28" i="13"/>
  <c r="AE28" i="13"/>
  <c r="AE20" i="13"/>
  <c r="AB33" i="13"/>
  <c r="AE36" i="13"/>
  <c r="X51" i="13"/>
  <c r="AE71" i="13"/>
  <c r="X71" i="13"/>
  <c r="AB77" i="13"/>
  <c r="AC256" i="13"/>
  <c r="X256" i="13"/>
  <c r="AE275" i="13"/>
  <c r="X275" i="13"/>
  <c r="AE407" i="13"/>
  <c r="AC407" i="13"/>
  <c r="AB407" i="13"/>
  <c r="X407" i="13"/>
  <c r="X49" i="13"/>
  <c r="AE49" i="13"/>
  <c r="AC49" i="13"/>
  <c r="AB86" i="13"/>
  <c r="X330" i="13"/>
  <c r="AB330" i="13"/>
  <c r="AE330" i="13"/>
  <c r="AB65" i="13"/>
  <c r="AC85" i="13"/>
  <c r="AE91" i="13"/>
  <c r="AC161" i="13"/>
  <c r="AC163" i="13"/>
  <c r="X167" i="13"/>
  <c r="AC216" i="13"/>
  <c r="AE230" i="13"/>
  <c r="X239" i="13"/>
  <c r="AC239" i="13"/>
  <c r="AB262" i="13"/>
  <c r="AB279" i="13"/>
  <c r="AE282" i="13"/>
  <c r="AB292" i="13"/>
  <c r="AE296" i="13"/>
  <c r="X310" i="13"/>
  <c r="AB310" i="13"/>
  <c r="X314" i="13"/>
  <c r="AC322" i="13"/>
  <c r="AE329" i="13"/>
  <c r="AB340" i="13"/>
  <c r="AB351" i="13"/>
  <c r="X352" i="13"/>
  <c r="AE359" i="13"/>
  <c r="AC371" i="13"/>
  <c r="AB217" i="13"/>
  <c r="AB235" i="13"/>
  <c r="AB243" i="13"/>
  <c r="AE258" i="13"/>
  <c r="AB288" i="13"/>
  <c r="AC300" i="13"/>
  <c r="AC310" i="13"/>
  <c r="X315" i="13"/>
  <c r="X329" i="13"/>
  <c r="AC329" i="13"/>
  <c r="X333" i="13"/>
  <c r="AE343" i="13"/>
  <c r="X422" i="13"/>
  <c r="AC422" i="13"/>
  <c r="X29" i="13"/>
  <c r="AE29" i="13"/>
  <c r="AC29" i="13"/>
  <c r="AB29" i="13"/>
  <c r="X21" i="13"/>
  <c r="AE21" i="13"/>
  <c r="AC21" i="13"/>
  <c r="AB21" i="13"/>
  <c r="AB82" i="13"/>
  <c r="AC82" i="13"/>
  <c r="AC205" i="13"/>
  <c r="AB325" i="13"/>
  <c r="AE325" i="13"/>
  <c r="X334" i="13"/>
  <c r="AC334" i="13"/>
  <c r="AE334" i="13"/>
  <c r="AC402" i="13"/>
  <c r="AE76" i="13"/>
  <c r="AB76" i="13"/>
  <c r="AB271" i="13"/>
  <c r="X271" i="13"/>
  <c r="AE271" i="13"/>
  <c r="AC271" i="13"/>
  <c r="X37" i="13"/>
  <c r="AE37" i="13"/>
  <c r="AC37" i="13"/>
  <c r="AB37" i="13"/>
  <c r="AC354" i="13"/>
  <c r="AE354" i="13"/>
  <c r="AE48" i="13"/>
  <c r="AC48" i="13"/>
  <c r="AB180" i="13"/>
  <c r="AE180" i="13"/>
  <c r="AC180" i="13"/>
  <c r="X265" i="13"/>
  <c r="AE265" i="13"/>
  <c r="AE44" i="13"/>
  <c r="AC44" i="13"/>
  <c r="X137" i="13"/>
  <c r="AE137" i="13"/>
  <c r="AC193" i="13"/>
  <c r="AE193" i="13"/>
  <c r="AE219" i="13"/>
  <c r="AC219" i="13"/>
  <c r="X252" i="13"/>
  <c r="AC252" i="13"/>
  <c r="AE47" i="13"/>
  <c r="X47" i="13"/>
  <c r="X269" i="13"/>
  <c r="AE269" i="13"/>
  <c r="AB412" i="13"/>
  <c r="AC412" i="13"/>
  <c r="AC149" i="13"/>
  <c r="X149" i="13"/>
  <c r="AC415" i="13"/>
  <c r="AE415" i="13"/>
  <c r="AB415" i="13"/>
  <c r="X415" i="13"/>
  <c r="AE52" i="13"/>
  <c r="AC52" i="13"/>
  <c r="AE59" i="13"/>
  <c r="AC59" i="13"/>
  <c r="AE150" i="13"/>
  <c r="AC150" i="13"/>
  <c r="X317" i="13"/>
  <c r="AE317" i="13"/>
  <c r="AE338" i="13"/>
  <c r="AC338" i="13"/>
  <c r="AB416" i="13"/>
  <c r="AC416" i="13"/>
  <c r="AC298" i="13"/>
  <c r="X298" i="13"/>
  <c r="AC146" i="13"/>
  <c r="AE146" i="13"/>
  <c r="AE240" i="13"/>
  <c r="AC240" i="13"/>
  <c r="X240" i="13"/>
  <c r="X41" i="13"/>
  <c r="AE41" i="13"/>
  <c r="AB41" i="13"/>
  <c r="AC41" i="13"/>
  <c r="AE78" i="13"/>
  <c r="AB78" i="13"/>
  <c r="X78" i="13"/>
  <c r="AE244" i="13"/>
  <c r="AB244" i="13"/>
  <c r="X244" i="13"/>
  <c r="X273" i="13"/>
  <c r="AE273" i="13"/>
  <c r="AC400" i="13"/>
  <c r="AE411" i="13"/>
  <c r="AC411" i="13"/>
  <c r="X411" i="13"/>
  <c r="AB411" i="13"/>
  <c r="X263" i="13"/>
  <c r="AC24" i="13"/>
  <c r="AE25" i="13"/>
  <c r="AC32" i="13"/>
  <c r="AE33" i="13"/>
  <c r="AC40" i="13"/>
  <c r="AB45" i="13"/>
  <c r="AB53" i="13"/>
  <c r="AC60" i="13"/>
  <c r="X62" i="13"/>
  <c r="X70" i="13"/>
  <c r="AE81" i="13"/>
  <c r="AE127" i="13"/>
  <c r="AE136" i="13"/>
  <c r="X141" i="13"/>
  <c r="AB247" i="13"/>
  <c r="AC251" i="13"/>
  <c r="AB263" i="13"/>
  <c r="X316" i="13"/>
  <c r="AE333" i="13"/>
  <c r="AB344" i="13"/>
  <c r="X393" i="13"/>
  <c r="X247" i="13"/>
  <c r="X251" i="13"/>
  <c r="AE24" i="13"/>
  <c r="AE32" i="13"/>
  <c r="AC45" i="13"/>
  <c r="AC53" i="13"/>
  <c r="AB57" i="13"/>
  <c r="AE60" i="13"/>
  <c r="AC64" i="13"/>
  <c r="AB90" i="13"/>
  <c r="AE138" i="13"/>
  <c r="X235" i="13"/>
  <c r="AB236" i="13"/>
  <c r="AC247" i="13"/>
  <c r="AC263" i="13"/>
  <c r="AB282" i="13"/>
  <c r="AE326" i="13"/>
  <c r="AB332" i="13"/>
  <c r="AB343" i="13"/>
  <c r="AC346" i="13"/>
  <c r="AC374" i="13"/>
  <c r="AE45" i="13"/>
  <c r="AE53" i="13"/>
  <c r="X89" i="13"/>
  <c r="X221" i="13"/>
  <c r="AC282" i="13"/>
  <c r="AB289" i="13"/>
  <c r="AE313" i="13"/>
  <c r="AE316" i="13"/>
  <c r="AB331" i="13"/>
  <c r="AC343" i="13"/>
  <c r="X390" i="13"/>
  <c r="AC20" i="13"/>
  <c r="AC28" i="13"/>
  <c r="AC36" i="13"/>
  <c r="AB49" i="13"/>
  <c r="AC89" i="13"/>
  <c r="AE189" i="13"/>
  <c r="AB216" i="13"/>
  <c r="X243" i="13"/>
  <c r="AB296" i="13"/>
  <c r="AE305" i="13"/>
  <c r="AC330" i="13"/>
  <c r="AC408" i="13"/>
  <c r="AC25" i="13"/>
  <c r="AC33" i="13"/>
  <c r="AC81" i="13"/>
  <c r="X148" i="13"/>
  <c r="X222" i="13"/>
  <c r="X236" i="13"/>
  <c r="AE243" i="13"/>
  <c r="AC275" i="13"/>
  <c r="AE292" i="13"/>
  <c r="AB302" i="13"/>
  <c r="AE314" i="13"/>
  <c r="AC333" i="13"/>
  <c r="AC351" i="13"/>
  <c r="AE26" i="13"/>
  <c r="AB26" i="13"/>
  <c r="AC26" i="13"/>
  <c r="X26" i="13"/>
  <c r="AE22" i="13"/>
  <c r="AB22" i="13"/>
  <c r="X22" i="13"/>
  <c r="AC22" i="13"/>
  <c r="X30" i="13"/>
  <c r="AE30" i="13"/>
  <c r="AB30" i="13"/>
  <c r="AC30" i="13"/>
  <c r="X38" i="13"/>
  <c r="AE38" i="13"/>
  <c r="AB38" i="13"/>
  <c r="AC38" i="13"/>
  <c r="AC79" i="13"/>
  <c r="AB79" i="13"/>
  <c r="X79" i="13"/>
  <c r="AE79" i="13"/>
  <c r="X46" i="13"/>
  <c r="AE46" i="13"/>
  <c r="AB46" i="13"/>
  <c r="AC46" i="13"/>
  <c r="X18" i="13"/>
  <c r="AE18" i="13"/>
  <c r="AC18" i="13"/>
  <c r="AB18" i="13"/>
  <c r="AC68" i="13"/>
  <c r="X68" i="13"/>
  <c r="AE68" i="13"/>
  <c r="AB68" i="13"/>
  <c r="X50" i="13"/>
  <c r="AE50" i="13"/>
  <c r="AB50" i="13"/>
  <c r="AC50" i="13"/>
  <c r="X42" i="13"/>
  <c r="AE42" i="13"/>
  <c r="AB42" i="13"/>
  <c r="AC42" i="13"/>
  <c r="AE80" i="13"/>
  <c r="AC80" i="13"/>
  <c r="X80" i="13"/>
  <c r="AB80" i="13"/>
  <c r="X34" i="13"/>
  <c r="AE34" i="13"/>
  <c r="AC34" i="13"/>
  <c r="AB34" i="13"/>
  <c r="AB54" i="13"/>
  <c r="X54" i="13"/>
  <c r="AC54" i="13"/>
  <c r="AE54" i="13"/>
  <c r="AE61" i="13"/>
  <c r="AC61" i="13"/>
  <c r="AC83" i="13"/>
  <c r="AB83" i="13"/>
  <c r="AC55" i="13"/>
  <c r="AE56" i="13"/>
  <c r="X61" i="13"/>
  <c r="AC63" i="13"/>
  <c r="AE64" i="13"/>
  <c r="AB72" i="13"/>
  <c r="AB73" i="13"/>
  <c r="AB74" i="13"/>
  <c r="AC77" i="13"/>
  <c r="AC78" i="13"/>
  <c r="X82" i="13"/>
  <c r="AE82" i="13"/>
  <c r="X83" i="13"/>
  <c r="AE85" i="13"/>
  <c r="AC93" i="13"/>
  <c r="AB93" i="13"/>
  <c r="AB94" i="13"/>
  <c r="AC97" i="13"/>
  <c r="AB97" i="13"/>
  <c r="AB98" i="13"/>
  <c r="AC101" i="13"/>
  <c r="AB101" i="13"/>
  <c r="AB102" i="13"/>
  <c r="AC105" i="13"/>
  <c r="AB105" i="13"/>
  <c r="AB106" i="13"/>
  <c r="AC109" i="13"/>
  <c r="AB109" i="13"/>
  <c r="AB110" i="13"/>
  <c r="AC113" i="13"/>
  <c r="AB113" i="13"/>
  <c r="AB114" i="13"/>
  <c r="AC117" i="13"/>
  <c r="AB117" i="13"/>
  <c r="AB118" i="13"/>
  <c r="AC121" i="13"/>
  <c r="AB121" i="13"/>
  <c r="AB122" i="13"/>
  <c r="AC125" i="13"/>
  <c r="AB125" i="13"/>
  <c r="AB126" i="13"/>
  <c r="AC130" i="13"/>
  <c r="X142" i="13"/>
  <c r="AC142" i="13"/>
  <c r="AC165" i="13"/>
  <c r="AE328" i="13"/>
  <c r="AC328" i="13"/>
  <c r="AB328" i="13"/>
  <c r="X328" i="13"/>
  <c r="X43" i="13"/>
  <c r="X24" i="13"/>
  <c r="X28" i="13"/>
  <c r="AB31" i="13"/>
  <c r="X36" i="13"/>
  <c r="AB39" i="13"/>
  <c r="AB43" i="13"/>
  <c r="AB59" i="13"/>
  <c r="X59" i="13"/>
  <c r="AE66" i="13"/>
  <c r="AB66" i="13"/>
  <c r="AB70" i="13"/>
  <c r="AC87" i="13"/>
  <c r="AB87" i="13"/>
  <c r="AE96" i="13"/>
  <c r="AC96" i="13"/>
  <c r="X96" i="13"/>
  <c r="AE100" i="13"/>
  <c r="AC100" i="13"/>
  <c r="X100" i="13"/>
  <c r="AE104" i="13"/>
  <c r="AC104" i="13"/>
  <c r="X104" i="13"/>
  <c r="AE108" i="13"/>
  <c r="AC108" i="13"/>
  <c r="X108" i="13"/>
  <c r="AE112" i="13"/>
  <c r="AC112" i="13"/>
  <c r="X112" i="13"/>
  <c r="AE120" i="13"/>
  <c r="AC120" i="13"/>
  <c r="X120" i="13"/>
  <c r="AE124" i="13"/>
  <c r="AC124" i="13"/>
  <c r="X124" i="13"/>
  <c r="AE129" i="13"/>
  <c r="AC129" i="13"/>
  <c r="X129" i="13"/>
  <c r="AC132" i="13"/>
  <c r="AC134" i="13"/>
  <c r="X19" i="13"/>
  <c r="X23" i="13"/>
  <c r="X31" i="13"/>
  <c r="X35" i="13"/>
  <c r="X39" i="13"/>
  <c r="AC56" i="13"/>
  <c r="AE88" i="13"/>
  <c r="AC88" i="13"/>
  <c r="X88" i="13"/>
  <c r="X32" i="13"/>
  <c r="X48" i="13"/>
  <c r="X52" i="13"/>
  <c r="AE55" i="13"/>
  <c r="AC73" i="13"/>
  <c r="AE77" i="13"/>
  <c r="AC19" i="13"/>
  <c r="AC23" i="13"/>
  <c r="AC27" i="13"/>
  <c r="AC31" i="13"/>
  <c r="AC35" i="13"/>
  <c r="AC39" i="13"/>
  <c r="AC43" i="13"/>
  <c r="AC47" i="13"/>
  <c r="AC51" i="13"/>
  <c r="AB60" i="13"/>
  <c r="AB61" i="13"/>
  <c r="AC69" i="13"/>
  <c r="AC70" i="13"/>
  <c r="AE73" i="13"/>
  <c r="AE83" i="13"/>
  <c r="X86" i="13"/>
  <c r="AE86" i="13"/>
  <c r="X87" i="13"/>
  <c r="AB88" i="13"/>
  <c r="AE89" i="13"/>
  <c r="X27" i="13"/>
  <c r="AB55" i="13"/>
  <c r="AB19" i="13"/>
  <c r="X20" i="13"/>
  <c r="AB23" i="13"/>
  <c r="AB27" i="13"/>
  <c r="AB35" i="13"/>
  <c r="X40" i="13"/>
  <c r="X44" i="13"/>
  <c r="AB47" i="13"/>
  <c r="AB51" i="13"/>
  <c r="AE58" i="13"/>
  <c r="AB58" i="13"/>
  <c r="AC67" i="13"/>
  <c r="AB69" i="13"/>
  <c r="AC74" i="13"/>
  <c r="AE92" i="13"/>
  <c r="AC92" i="13"/>
  <c r="X92" i="13"/>
  <c r="AE116" i="13"/>
  <c r="AC116" i="13"/>
  <c r="X116" i="13"/>
  <c r="AB40" i="13"/>
  <c r="AB44" i="13"/>
  <c r="AB48" i="13"/>
  <c r="AB52" i="13"/>
  <c r="AE57" i="13"/>
  <c r="AC57" i="13"/>
  <c r="X58" i="13"/>
  <c r="AE65" i="13"/>
  <c r="AC65" i="13"/>
  <c r="X66" i="13"/>
  <c r="AC91" i="13"/>
  <c r="AB91" i="13"/>
  <c r="AE93" i="13"/>
  <c r="AE97" i="13"/>
  <c r="AE101" i="13"/>
  <c r="AE105" i="13"/>
  <c r="AE109" i="13"/>
  <c r="AE113" i="13"/>
  <c r="AE117" i="13"/>
  <c r="AE121" i="13"/>
  <c r="AE125" i="13"/>
  <c r="AC75" i="13"/>
  <c r="AB75" i="13"/>
  <c r="AC76" i="13"/>
  <c r="X76" i="13"/>
  <c r="X90" i="13"/>
  <c r="AE90" i="13"/>
  <c r="AC95" i="13"/>
  <c r="AB95" i="13"/>
  <c r="AC99" i="13"/>
  <c r="AB99" i="13"/>
  <c r="AC103" i="13"/>
  <c r="AB103" i="13"/>
  <c r="AC107" i="13"/>
  <c r="AB107" i="13"/>
  <c r="AC111" i="13"/>
  <c r="AB111" i="13"/>
  <c r="AC115" i="13"/>
  <c r="AB115" i="13"/>
  <c r="AC119" i="13"/>
  <c r="AB119" i="13"/>
  <c r="AC123" i="13"/>
  <c r="AB123" i="13"/>
  <c r="AC127" i="13"/>
  <c r="AB127" i="13"/>
  <c r="AE168" i="13"/>
  <c r="AC168" i="13"/>
  <c r="AB168" i="13"/>
  <c r="X168" i="13"/>
  <c r="AE62" i="13"/>
  <c r="AB62" i="13"/>
  <c r="AB63" i="13"/>
  <c r="X63" i="13"/>
  <c r="AC71" i="13"/>
  <c r="AB71" i="13"/>
  <c r="AC72" i="13"/>
  <c r="X72" i="13"/>
  <c r="AE84" i="13"/>
  <c r="AC84" i="13"/>
  <c r="X84" i="13"/>
  <c r="X85" i="13"/>
  <c r="X94" i="13"/>
  <c r="AE94" i="13"/>
  <c r="X95" i="13"/>
  <c r="X98" i="13"/>
  <c r="AE98" i="13"/>
  <c r="X99" i="13"/>
  <c r="X102" i="13"/>
  <c r="AE102" i="13"/>
  <c r="X103" i="13"/>
  <c r="X106" i="13"/>
  <c r="AE106" i="13"/>
  <c r="X107" i="13"/>
  <c r="X110" i="13"/>
  <c r="AE110" i="13"/>
  <c r="X111" i="13"/>
  <c r="X114" i="13"/>
  <c r="AE114" i="13"/>
  <c r="X115" i="13"/>
  <c r="X118" i="13"/>
  <c r="AE118" i="13"/>
  <c r="X119" i="13"/>
  <c r="X122" i="13"/>
  <c r="AE122" i="13"/>
  <c r="X123" i="13"/>
  <c r="X126" i="13"/>
  <c r="AE126" i="13"/>
  <c r="AC131" i="13"/>
  <c r="AC133" i="13"/>
  <c r="AE135" i="13"/>
  <c r="AC135" i="13"/>
  <c r="AB135" i="13"/>
  <c r="X135" i="13"/>
  <c r="AB56" i="13"/>
  <c r="AB64" i="13"/>
  <c r="X74" i="13"/>
  <c r="X75" i="13"/>
  <c r="AE140" i="13"/>
  <c r="AC140" i="13"/>
  <c r="AB140" i="13"/>
  <c r="X140" i="13"/>
  <c r="AC241" i="13"/>
  <c r="AB241" i="13"/>
  <c r="X241" i="13"/>
  <c r="AE241" i="13"/>
  <c r="AE141" i="13"/>
  <c r="AB141" i="13"/>
  <c r="AB143" i="13"/>
  <c r="X147" i="13"/>
  <c r="AC147" i="13"/>
  <c r="AE152" i="13"/>
  <c r="AC152" i="13"/>
  <c r="AC158" i="13"/>
  <c r="AC176" i="13"/>
  <c r="AE178" i="13"/>
  <c r="AC178" i="13"/>
  <c r="AB178" i="13"/>
  <c r="X184" i="13"/>
  <c r="AE184" i="13"/>
  <c r="AC184" i="13"/>
  <c r="AE188" i="13"/>
  <c r="AC188" i="13"/>
  <c r="AB188" i="13"/>
  <c r="X188" i="13"/>
  <c r="AE195" i="13"/>
  <c r="AC195" i="13"/>
  <c r="AB195" i="13"/>
  <c r="AC201" i="13"/>
  <c r="AC250" i="13"/>
  <c r="X250" i="13"/>
  <c r="AE250" i="13"/>
  <c r="AB250" i="13"/>
  <c r="AB146" i="13"/>
  <c r="X146" i="13"/>
  <c r="X152" i="13"/>
  <c r="AE167" i="13"/>
  <c r="AC167" i="13"/>
  <c r="X178" i="13"/>
  <c r="AC202" i="13"/>
  <c r="AC238" i="13"/>
  <c r="X238" i="13"/>
  <c r="AE238" i="13"/>
  <c r="AB238" i="13"/>
  <c r="AE145" i="13"/>
  <c r="AB145" i="13"/>
  <c r="X151" i="13"/>
  <c r="AC151" i="13"/>
  <c r="X190" i="13"/>
  <c r="AE190" i="13"/>
  <c r="AC190" i="13"/>
  <c r="AE192" i="13"/>
  <c r="AC192" i="13"/>
  <c r="AB192" i="13"/>
  <c r="X192" i="13"/>
  <c r="AC242" i="13"/>
  <c r="X242" i="13"/>
  <c r="AE242" i="13"/>
  <c r="AC245" i="13"/>
  <c r="AB245" i="13"/>
  <c r="X245" i="13"/>
  <c r="AB260" i="13"/>
  <c r="AE260" i="13"/>
  <c r="AC260" i="13"/>
  <c r="X260" i="13"/>
  <c r="X339" i="13"/>
  <c r="AE339" i="13"/>
  <c r="AC339" i="13"/>
  <c r="AB339" i="13"/>
  <c r="AE341" i="13"/>
  <c r="AB341" i="13"/>
  <c r="AC341" i="13"/>
  <c r="X341" i="13"/>
  <c r="X138" i="13"/>
  <c r="AE147" i="13"/>
  <c r="AB150" i="13"/>
  <c r="X150" i="13"/>
  <c r="AB152" i="13"/>
  <c r="AC203" i="13"/>
  <c r="AC206" i="13"/>
  <c r="X136" i="13"/>
  <c r="AE144" i="13"/>
  <c r="AC144" i="13"/>
  <c r="X145" i="13"/>
  <c r="AE149" i="13"/>
  <c r="AB149" i="13"/>
  <c r="AB151" i="13"/>
  <c r="AC164" i="13"/>
  <c r="X166" i="13"/>
  <c r="AC166" i="13"/>
  <c r="X177" i="13"/>
  <c r="AE177" i="13"/>
  <c r="AC177" i="13"/>
  <c r="AE186" i="13"/>
  <c r="AC186" i="13"/>
  <c r="AB186" i="13"/>
  <c r="AB190" i="13"/>
  <c r="X194" i="13"/>
  <c r="AE194" i="13"/>
  <c r="AC194" i="13"/>
  <c r="AE196" i="13"/>
  <c r="AC196" i="13"/>
  <c r="AB196" i="13"/>
  <c r="X196" i="13"/>
  <c r="AC204" i="13"/>
  <c r="AE218" i="13"/>
  <c r="AB218" i="13"/>
  <c r="AC218" i="13"/>
  <c r="X218" i="13"/>
  <c r="AB242" i="13"/>
  <c r="AE245" i="13"/>
  <c r="AC285" i="13"/>
  <c r="AB137" i="13"/>
  <c r="AB138" i="13"/>
  <c r="X144" i="13"/>
  <c r="AE151" i="13"/>
  <c r="AB176" i="13"/>
  <c r="X176" i="13"/>
  <c r="AE179" i="13"/>
  <c r="AC179" i="13"/>
  <c r="AB179" i="13"/>
  <c r="X179" i="13"/>
  <c r="X186" i="13"/>
  <c r="AC237" i="13"/>
  <c r="AB237" i="13"/>
  <c r="AE237" i="13"/>
  <c r="X249" i="13"/>
  <c r="AC249" i="13"/>
  <c r="AB249" i="13"/>
  <c r="AE249" i="13"/>
  <c r="AE255" i="13"/>
  <c r="AC255" i="13"/>
  <c r="AB255" i="13"/>
  <c r="X255" i="13"/>
  <c r="AC136" i="13"/>
  <c r="AC137" i="13"/>
  <c r="X143" i="13"/>
  <c r="AC143" i="13"/>
  <c r="AE148" i="13"/>
  <c r="AC148" i="13"/>
  <c r="AE191" i="13"/>
  <c r="AC191" i="13"/>
  <c r="AB191" i="13"/>
  <c r="X220" i="13"/>
  <c r="AE220" i="13"/>
  <c r="AC220" i="13"/>
  <c r="AB220" i="13"/>
  <c r="AC246" i="13"/>
  <c r="X246" i="13"/>
  <c r="AB246" i="13"/>
  <c r="X253" i="13"/>
  <c r="AC253" i="13"/>
  <c r="AB253" i="13"/>
  <c r="AE253" i="13"/>
  <c r="X257" i="13"/>
  <c r="AC257" i="13"/>
  <c r="AB257" i="13"/>
  <c r="X261" i="13"/>
  <c r="AC261" i="13"/>
  <c r="AB261" i="13"/>
  <c r="AE261" i="13"/>
  <c r="AC215" i="13"/>
  <c r="AB219" i="13"/>
  <c r="X219" i="13"/>
  <c r="AB239" i="13"/>
  <c r="AB240" i="13"/>
  <c r="AC244" i="13"/>
  <c r="AB251" i="13"/>
  <c r="AE290" i="13"/>
  <c r="AB290" i="13"/>
  <c r="X290" i="13"/>
  <c r="AE307" i="13"/>
  <c r="AB307" i="13"/>
  <c r="X307" i="13"/>
  <c r="AE311" i="13"/>
  <c r="AB311" i="13"/>
  <c r="AC311" i="13"/>
  <c r="X311" i="13"/>
  <c r="AC226" i="13"/>
  <c r="X226" i="13"/>
  <c r="AB248" i="13"/>
  <c r="AE248" i="13"/>
  <c r="AC254" i="13"/>
  <c r="X254" i="13"/>
  <c r="AB264" i="13"/>
  <c r="AE264" i="13"/>
  <c r="AE270" i="13"/>
  <c r="AC270" i="13"/>
  <c r="X270" i="13"/>
  <c r="AC274" i="13"/>
  <c r="AE276" i="13"/>
  <c r="AC276" i="13"/>
  <c r="AB276" i="13"/>
  <c r="X276" i="13"/>
  <c r="AC286" i="13"/>
  <c r="AE294" i="13"/>
  <c r="AB294" i="13"/>
  <c r="AC294" i="13"/>
  <c r="X294" i="13"/>
  <c r="AE303" i="13"/>
  <c r="AB303" i="13"/>
  <c r="AC303" i="13"/>
  <c r="X303" i="13"/>
  <c r="AE217" i="13"/>
  <c r="AC217" i="13"/>
  <c r="AB230" i="13"/>
  <c r="X230" i="13"/>
  <c r="AC235" i="13"/>
  <c r="AC236" i="13"/>
  <c r="X259" i="13"/>
  <c r="AE267" i="13"/>
  <c r="AC267" i="13"/>
  <c r="AB267" i="13"/>
  <c r="X278" i="13"/>
  <c r="AE278" i="13"/>
  <c r="AC278" i="13"/>
  <c r="AE280" i="13"/>
  <c r="AB280" i="13"/>
  <c r="X280" i="13"/>
  <c r="AC290" i="13"/>
  <c r="AC307" i="13"/>
  <c r="X180" i="13"/>
  <c r="X189" i="13"/>
  <c r="X193" i="13"/>
  <c r="AC214" i="13"/>
  <c r="AC227" i="13"/>
  <c r="AE229" i="13"/>
  <c r="AB229" i="13"/>
  <c r="AC231" i="13"/>
  <c r="X248" i="13"/>
  <c r="AB252" i="13"/>
  <c r="AE252" i="13"/>
  <c r="AB254" i="13"/>
  <c r="AC258" i="13"/>
  <c r="X258" i="13"/>
  <c r="X264" i="13"/>
  <c r="AB270" i="13"/>
  <c r="AE284" i="13"/>
  <c r="AB284" i="13"/>
  <c r="AC284" i="13"/>
  <c r="X284" i="13"/>
  <c r="AE349" i="13"/>
  <c r="AB349" i="13"/>
  <c r="AC349" i="13"/>
  <c r="X349" i="13"/>
  <c r="AB213" i="13"/>
  <c r="AE222" i="13"/>
  <c r="AB222" i="13"/>
  <c r="AC223" i="13"/>
  <c r="AB226" i="13"/>
  <c r="AE254" i="13"/>
  <c r="AB259" i="13"/>
  <c r="AB291" i="13"/>
  <c r="X291" i="13"/>
  <c r="AC291" i="13"/>
  <c r="AC308" i="13"/>
  <c r="AB308" i="13"/>
  <c r="X308" i="13"/>
  <c r="AE308" i="13"/>
  <c r="AC312" i="13"/>
  <c r="AB312" i="13"/>
  <c r="X312" i="13"/>
  <c r="AE312" i="13"/>
  <c r="AE379" i="13"/>
  <c r="AC379" i="13"/>
  <c r="AB379" i="13"/>
  <c r="X379" i="13"/>
  <c r="AE383" i="13"/>
  <c r="AC383" i="13"/>
  <c r="AB383" i="13"/>
  <c r="X383" i="13"/>
  <c r="AE387" i="13"/>
  <c r="AC387" i="13"/>
  <c r="AB387" i="13"/>
  <c r="X387" i="13"/>
  <c r="AB189" i="13"/>
  <c r="AB193" i="13"/>
  <c r="AC213" i="13"/>
  <c r="AE226" i="13"/>
  <c r="AC248" i="13"/>
  <c r="AB256" i="13"/>
  <c r="AE256" i="13"/>
  <c r="AC259" i="13"/>
  <c r="AC262" i="13"/>
  <c r="X262" i="13"/>
  <c r="AC264" i="13"/>
  <c r="AE266" i="13"/>
  <c r="AC266" i="13"/>
  <c r="X266" i="13"/>
  <c r="AC295" i="13"/>
  <c r="AB295" i="13"/>
  <c r="X295" i="13"/>
  <c r="AE295" i="13"/>
  <c r="AC304" i="13"/>
  <c r="AB304" i="13"/>
  <c r="X304" i="13"/>
  <c r="AE304" i="13"/>
  <c r="AE213" i="13"/>
  <c r="AE221" i="13"/>
  <c r="AC221" i="13"/>
  <c r="AC228" i="13"/>
  <c r="AB268" i="13"/>
  <c r="X268" i="13"/>
  <c r="AE268" i="13"/>
  <c r="AB272" i="13"/>
  <c r="X272" i="13"/>
  <c r="AE272" i="13"/>
  <c r="AC277" i="13"/>
  <c r="AB277" i="13"/>
  <c r="X277" i="13"/>
  <c r="AB281" i="13"/>
  <c r="X281" i="13"/>
  <c r="AC281" i="13"/>
  <c r="AE297" i="13"/>
  <c r="AC297" i="13"/>
  <c r="AB297" i="13"/>
  <c r="X297" i="13"/>
  <c r="AB265" i="13"/>
  <c r="AB269" i="13"/>
  <c r="AB273" i="13"/>
  <c r="AC279" i="13"/>
  <c r="AC287" i="13"/>
  <c r="AC288" i="13"/>
  <c r="AC289" i="13"/>
  <c r="AE300" i="13"/>
  <c r="AB305" i="13"/>
  <c r="AB306" i="13"/>
  <c r="AB313" i="13"/>
  <c r="AB317" i="13"/>
  <c r="AB318" i="13"/>
  <c r="AC320" i="13"/>
  <c r="AE321" i="13"/>
  <c r="AE332" i="13"/>
  <c r="AC332" i="13"/>
  <c r="AE345" i="13"/>
  <c r="AB345" i="13"/>
  <c r="X345" i="13"/>
  <c r="AE356" i="13"/>
  <c r="AC356" i="13"/>
  <c r="AC265" i="13"/>
  <c r="AC269" i="13"/>
  <c r="AC273" i="13"/>
  <c r="AB275" i="13"/>
  <c r="AE288" i="13"/>
  <c r="AC305" i="13"/>
  <c r="AC306" i="13"/>
  <c r="AC313" i="13"/>
  <c r="AB314" i="13"/>
  <c r="AC316" i="13"/>
  <c r="AC317" i="13"/>
  <c r="AE318" i="13"/>
  <c r="AE320" i="13"/>
  <c r="X356" i="13"/>
  <c r="AB358" i="13"/>
  <c r="X358" i="13"/>
  <c r="AE358" i="13"/>
  <c r="AC372" i="13"/>
  <c r="AB372" i="13"/>
  <c r="X372" i="13"/>
  <c r="AE337" i="13"/>
  <c r="AB337" i="13"/>
  <c r="X337" i="13"/>
  <c r="AE348" i="13"/>
  <c r="AC348" i="13"/>
  <c r="AE380" i="13"/>
  <c r="AB380" i="13"/>
  <c r="X380" i="13"/>
  <c r="AC380" i="13"/>
  <c r="AE384" i="13"/>
  <c r="AB384" i="13"/>
  <c r="X384" i="13"/>
  <c r="AC384" i="13"/>
  <c r="AC388" i="13"/>
  <c r="AE410" i="13"/>
  <c r="AC410" i="13"/>
  <c r="AB410" i="13"/>
  <c r="X410" i="13"/>
  <c r="X283" i="13"/>
  <c r="X293" i="13"/>
  <c r="AC296" i="13"/>
  <c r="AC323" i="13"/>
  <c r="X327" i="13"/>
  <c r="AB334" i="13"/>
  <c r="X348" i="13"/>
  <c r="X355" i="13"/>
  <c r="AE355" i="13"/>
  <c r="AC355" i="13"/>
  <c r="AB356" i="13"/>
  <c r="AB309" i="13"/>
  <c r="AE319" i="13"/>
  <c r="AC319" i="13"/>
  <c r="X325" i="13"/>
  <c r="AE336" i="13"/>
  <c r="AC336" i="13"/>
  <c r="X336" i="13"/>
  <c r="AC337" i="13"/>
  <c r="AE340" i="13"/>
  <c r="AC340" i="13"/>
  <c r="AB350" i="13"/>
  <c r="X350" i="13"/>
  <c r="AE350" i="13"/>
  <c r="AC362" i="13"/>
  <c r="X279" i="13"/>
  <c r="AB283" i="13"/>
  <c r="AB287" i="13"/>
  <c r="X287" i="13"/>
  <c r="X289" i="13"/>
  <c r="AB293" i="13"/>
  <c r="AE298" i="13"/>
  <c r="AB298" i="13"/>
  <c r="AC299" i="13"/>
  <c r="AB299" i="13"/>
  <c r="X299" i="13"/>
  <c r="AC309" i="13"/>
  <c r="AE315" i="13"/>
  <c r="AC315" i="13"/>
  <c r="AB326" i="13"/>
  <c r="AB327" i="13"/>
  <c r="X347" i="13"/>
  <c r="AE347" i="13"/>
  <c r="AC347" i="13"/>
  <c r="AB348" i="13"/>
  <c r="AE357" i="13"/>
  <c r="AB357" i="13"/>
  <c r="X357" i="13"/>
  <c r="AC357" i="13"/>
  <c r="AC378" i="13"/>
  <c r="AC397" i="13"/>
  <c r="X397" i="13"/>
  <c r="AE397" i="13"/>
  <c r="AC283" i="13"/>
  <c r="AC293" i="13"/>
  <c r="AB300" i="13"/>
  <c r="X306" i="13"/>
  <c r="AE309" i="13"/>
  <c r="X318" i="13"/>
  <c r="X319" i="13"/>
  <c r="X320" i="13"/>
  <c r="AB321" i="13"/>
  <c r="AC325" i="13"/>
  <c r="AC326" i="13"/>
  <c r="AE327" i="13"/>
  <c r="AB342" i="13"/>
  <c r="X342" i="13"/>
  <c r="AE342" i="13"/>
  <c r="AE353" i="13"/>
  <c r="AB353" i="13"/>
  <c r="X353" i="13"/>
  <c r="AB338" i="13"/>
  <c r="X338" i="13"/>
  <c r="AB346" i="13"/>
  <c r="X346" i="13"/>
  <c r="AB354" i="13"/>
  <c r="X354" i="13"/>
  <c r="X361" i="13"/>
  <c r="AC369" i="13"/>
  <c r="AC377" i="13"/>
  <c r="AC389" i="13"/>
  <c r="AE391" i="13"/>
  <c r="AB391" i="13"/>
  <c r="AE360" i="13"/>
  <c r="AC360" i="13"/>
  <c r="AE363" i="13"/>
  <c r="AC363" i="13"/>
  <c r="X363" i="13"/>
  <c r="X366" i="13"/>
  <c r="AC366" i="13"/>
  <c r="AB366" i="13"/>
  <c r="AC382" i="13"/>
  <c r="X382" i="13"/>
  <c r="AC386" i="13"/>
  <c r="X386" i="13"/>
  <c r="AE394" i="13"/>
  <c r="AC394" i="13"/>
  <c r="X394" i="13"/>
  <c r="AE406" i="13"/>
  <c r="AC406" i="13"/>
  <c r="AB406" i="13"/>
  <c r="X406" i="13"/>
  <c r="AE414" i="13"/>
  <c r="AC414" i="13"/>
  <c r="AB414" i="13"/>
  <c r="X414" i="13"/>
  <c r="AC420" i="13"/>
  <c r="AB420" i="13"/>
  <c r="X420" i="13"/>
  <c r="AE344" i="13"/>
  <c r="AC344" i="13"/>
  <c r="AE352" i="13"/>
  <c r="AC352" i="13"/>
  <c r="X360" i="13"/>
  <c r="AC375" i="13"/>
  <c r="X391" i="13"/>
  <c r="AE393" i="13"/>
  <c r="AB393" i="13"/>
  <c r="X409" i="13"/>
  <c r="AE409" i="13"/>
  <c r="AC409" i="13"/>
  <c r="AB409" i="13"/>
  <c r="X418" i="13"/>
  <c r="AE418" i="13"/>
  <c r="AC418" i="13"/>
  <c r="AB418" i="13"/>
  <c r="AC359" i="13"/>
  <c r="X359" i="13"/>
  <c r="AB363" i="13"/>
  <c r="AB365" i="13"/>
  <c r="X365" i="13"/>
  <c r="AE365" i="13"/>
  <c r="AE366" i="13"/>
  <c r="AE368" i="13"/>
  <c r="AB368" i="13"/>
  <c r="AC381" i="13"/>
  <c r="AB381" i="13"/>
  <c r="X381" i="13"/>
  <c r="AB382" i="13"/>
  <c r="AC385" i="13"/>
  <c r="AB385" i="13"/>
  <c r="X385" i="13"/>
  <c r="AB386" i="13"/>
  <c r="AE390" i="13"/>
  <c r="AC390" i="13"/>
  <c r="AB394" i="13"/>
  <c r="AE420" i="13"/>
  <c r="AC424" i="13"/>
  <c r="AB424" i="13"/>
  <c r="X424" i="13"/>
  <c r="AE419" i="13"/>
  <c r="AC419" i="13"/>
  <c r="AB419" i="13"/>
  <c r="X419" i="13"/>
  <c r="AE361" i="13"/>
  <c r="AB361" i="13"/>
  <c r="AE364" i="13"/>
  <c r="AB364" i="13"/>
  <c r="AE367" i="13"/>
  <c r="AC367" i="13"/>
  <c r="X367" i="13"/>
  <c r="X405" i="13"/>
  <c r="AE405" i="13"/>
  <c r="AC405" i="13"/>
  <c r="AB405" i="13"/>
  <c r="X413" i="13"/>
  <c r="AE413" i="13"/>
  <c r="AC413" i="13"/>
  <c r="AB413" i="13"/>
  <c r="AE424" i="13"/>
  <c r="AC399" i="13"/>
  <c r="AE408" i="13"/>
  <c r="AE412" i="13"/>
  <c r="AE416" i="13"/>
  <c r="AB422" i="13"/>
  <c r="X408" i="13"/>
  <c r="X412" i="13"/>
  <c r="X416" i="13"/>
  <c r="P122" i="1"/>
  <c r="P60" i="1"/>
  <c r="AP6" i="1"/>
  <c r="AE142" i="13" l="1"/>
  <c r="AB153" i="13"/>
  <c r="AE153" i="13"/>
  <c r="AZ128" i="13"/>
  <c r="U128" i="13"/>
  <c r="V128" i="13"/>
  <c r="AB421" i="13"/>
  <c r="U421" i="13"/>
  <c r="V421" i="13"/>
  <c r="AZ423" i="13"/>
  <c r="U423" i="13"/>
  <c r="V423" i="13"/>
  <c r="AC392" i="13"/>
  <c r="U392" i="13"/>
  <c r="V392" i="13"/>
  <c r="AZ142" i="13"/>
  <c r="U142" i="13"/>
  <c r="V142" i="13"/>
  <c r="AC212" i="13"/>
  <c r="U212" i="13"/>
  <c r="V212" i="13"/>
  <c r="AZ154" i="13"/>
  <c r="U154" i="13"/>
  <c r="V154" i="13"/>
  <c r="AB154" i="13"/>
  <c r="AC154" i="13"/>
  <c r="AZ156" i="13"/>
  <c r="U156" i="13"/>
  <c r="V156" i="13"/>
  <c r="AZ153" i="13"/>
  <c r="U153" i="13"/>
  <c r="V153" i="13"/>
  <c r="AZ155" i="13"/>
  <c r="U155" i="13"/>
  <c r="V155" i="13"/>
  <c r="AC153" i="13"/>
  <c r="AC156" i="13"/>
  <c r="AE154" i="13"/>
  <c r="R17" i="13"/>
  <c r="N17" i="13" s="1"/>
  <c r="AZ17" i="13" s="1"/>
  <c r="AB423" i="13"/>
  <c r="AE421" i="13"/>
  <c r="AE423" i="13"/>
  <c r="X423" i="13"/>
  <c r="X421" i="13"/>
  <c r="AZ212" i="13"/>
  <c r="AZ421" i="13"/>
  <c r="P171" i="1"/>
  <c r="P118" i="1" l="1"/>
  <c r="AP9" i="1" l="1"/>
  <c r="P164" i="1" l="1"/>
  <c r="E161" i="10" l="1"/>
  <c r="P42" i="1" l="1"/>
  <c r="N15" i="1" l="1"/>
  <c r="AS401" i="1"/>
  <c r="AQ401" i="1"/>
  <c r="T55" i="1"/>
  <c r="P55" i="1"/>
  <c r="P166" i="1"/>
  <c r="P36" i="1"/>
  <c r="AQ444" i="1" l="1"/>
  <c r="AV171" i="1"/>
  <c r="AU171" i="1"/>
  <c r="AS171" i="1"/>
  <c r="AR171" i="1"/>
  <c r="Z171" i="1"/>
  <c r="X171" i="1"/>
  <c r="E180" i="10"/>
  <c r="AV111" i="1"/>
  <c r="AU111" i="1"/>
  <c r="AS111" i="1"/>
  <c r="AR111" i="1"/>
  <c r="AQ111" i="1"/>
  <c r="Z111" i="1"/>
  <c r="E120" i="10"/>
  <c r="R111" i="1" l="1"/>
  <c r="AQ336" i="1" s="1"/>
  <c r="R86" i="1"/>
  <c r="AQ256" i="1"/>
  <c r="AQ472" i="1"/>
  <c r="AR472" i="1"/>
  <c r="Z472" i="1"/>
  <c r="X472" i="1"/>
  <c r="E481" i="10"/>
  <c r="AQ407" i="1"/>
  <c r="AS406" i="1"/>
  <c r="S406" i="1" s="1"/>
  <c r="AQ406" i="1"/>
  <c r="E393" i="10"/>
  <c r="AS384" i="1"/>
  <c r="AT384" i="1" s="1"/>
  <c r="AR384" i="1"/>
  <c r="Z384" i="1"/>
  <c r="X384" i="1"/>
  <c r="AQ365" i="1"/>
  <c r="AR365" i="1"/>
  <c r="Z365" i="1"/>
  <c r="X365" i="1"/>
  <c r="E374" i="10"/>
  <c r="AQ366" i="1"/>
  <c r="AS367" i="1"/>
  <c r="AR367" i="1"/>
  <c r="AQ367" i="1"/>
  <c r="Z367" i="1"/>
  <c r="X367" i="1"/>
  <c r="AR366" i="1"/>
  <c r="Z366" i="1"/>
  <c r="X366" i="1"/>
  <c r="E376" i="10"/>
  <c r="E375" i="10"/>
  <c r="AQ359" i="1"/>
  <c r="AQ297" i="1" l="1"/>
  <c r="R109" i="1" l="1"/>
  <c r="AQ315" i="1"/>
  <c r="AR315" i="1"/>
  <c r="Z315" i="1"/>
  <c r="X315" i="1"/>
  <c r="E324" i="10"/>
  <c r="R315" i="1" l="1"/>
  <c r="AQ289" i="1" l="1"/>
  <c r="AR289" i="1"/>
  <c r="Z289" i="1"/>
  <c r="X289" i="1"/>
  <c r="E298" i="10"/>
  <c r="T289" i="1" s="1"/>
  <c r="AQ276" i="1"/>
  <c r="AR276" i="1"/>
  <c r="Z276" i="1"/>
  <c r="X276" i="1"/>
  <c r="E285" i="10"/>
  <c r="T276" i="1" s="1"/>
  <c r="AQ274" i="1"/>
  <c r="AR274" i="1"/>
  <c r="Z274" i="1"/>
  <c r="X274" i="1"/>
  <c r="E283" i="10"/>
  <c r="T274" i="1" s="1"/>
  <c r="E279" i="10"/>
  <c r="AS270" i="1"/>
  <c r="AR270" i="1"/>
  <c r="Z270" i="1"/>
  <c r="X270" i="1"/>
  <c r="E244" i="10"/>
  <c r="T235" i="1" s="1"/>
  <c r="N235" i="1" s="1"/>
  <c r="AR251" i="1"/>
  <c r="Z251" i="1"/>
  <c r="X251" i="1"/>
  <c r="E260" i="10"/>
  <c r="AR226" i="1"/>
  <c r="Z226" i="1"/>
  <c r="X226" i="1"/>
  <c r="E235" i="10"/>
  <c r="V235" i="1" l="1"/>
  <c r="AP235" i="1"/>
  <c r="U235" i="1"/>
  <c r="J78" i="10"/>
  <c r="J26" i="10" s="1"/>
  <c r="J23" i="10" s="1"/>
  <c r="AQ305" i="1" l="1"/>
  <c r="R305" i="1" s="1"/>
  <c r="AQ304" i="1"/>
  <c r="R304" i="1" s="1"/>
  <c r="AU239" i="1"/>
  <c r="AU792" i="1"/>
  <c r="AV792" i="1"/>
  <c r="AU793" i="1"/>
  <c r="AV793" i="1"/>
  <c r="AU794" i="1"/>
  <c r="AV794" i="1"/>
  <c r="AU466" i="1"/>
  <c r="AV466" i="1"/>
  <c r="AU467" i="1"/>
  <c r="AV467" i="1"/>
  <c r="AU476" i="1"/>
  <c r="AV476" i="1"/>
  <c r="AV795" i="1"/>
  <c r="AU776" i="1"/>
  <c r="AV776" i="1"/>
  <c r="AU777" i="1"/>
  <c r="AV777" i="1"/>
  <c r="AU779" i="1"/>
  <c r="AV779" i="1"/>
  <c r="AV780" i="1"/>
  <c r="AU781" i="1"/>
  <c r="AV781" i="1"/>
  <c r="AU782" i="1"/>
  <c r="AV782" i="1"/>
  <c r="AU783" i="1"/>
  <c r="AV783" i="1"/>
  <c r="AU786" i="1"/>
  <c r="AV786" i="1"/>
  <c r="AU787" i="1"/>
  <c r="AV787" i="1"/>
  <c r="AU788" i="1"/>
  <c r="AV788" i="1"/>
  <c r="AU789" i="1"/>
  <c r="AV789" i="1"/>
  <c r="AU791" i="1"/>
  <c r="AV791" i="1"/>
  <c r="AU734" i="1"/>
  <c r="AV734" i="1"/>
  <c r="AU737" i="1"/>
  <c r="AV737" i="1"/>
  <c r="AU738" i="1"/>
  <c r="AV738" i="1"/>
  <c r="AU739" i="1"/>
  <c r="AV739" i="1"/>
  <c r="AU741" i="1"/>
  <c r="AV741" i="1"/>
  <c r="AU745" i="1"/>
  <c r="AV745" i="1"/>
  <c r="AU747" i="1"/>
  <c r="AV747" i="1"/>
  <c r="AU748" i="1"/>
  <c r="AV748" i="1"/>
  <c r="AU751" i="1"/>
  <c r="AV751" i="1"/>
  <c r="AU752" i="1"/>
  <c r="AV752" i="1"/>
  <c r="AU753" i="1"/>
  <c r="AV753" i="1"/>
  <c r="AU755" i="1"/>
  <c r="AV755" i="1"/>
  <c r="AU756" i="1"/>
  <c r="AV756" i="1"/>
  <c r="AU757" i="1"/>
  <c r="AV757" i="1"/>
  <c r="AU774" i="1"/>
  <c r="AV774" i="1"/>
  <c r="AU775" i="1"/>
  <c r="AV775" i="1"/>
  <c r="AU720" i="1"/>
  <c r="AV720" i="1"/>
  <c r="AU722" i="1"/>
  <c r="AV722" i="1"/>
  <c r="AU723" i="1"/>
  <c r="AV723" i="1"/>
  <c r="AU725" i="1"/>
  <c r="AV725" i="1"/>
  <c r="AU726" i="1"/>
  <c r="AV726" i="1"/>
  <c r="AU727" i="1"/>
  <c r="AV727" i="1"/>
  <c r="AU728" i="1"/>
  <c r="AV728" i="1"/>
  <c r="AV729" i="1"/>
  <c r="AU730" i="1"/>
  <c r="AV730" i="1"/>
  <c r="AU731" i="1"/>
  <c r="AV731" i="1"/>
  <c r="AU732" i="1"/>
  <c r="AV732" i="1"/>
  <c r="AU733" i="1"/>
  <c r="AV733" i="1"/>
  <c r="AU699" i="1"/>
  <c r="AV699" i="1"/>
  <c r="AU700" i="1"/>
  <c r="AV700" i="1"/>
  <c r="AU702" i="1"/>
  <c r="AV702" i="1"/>
  <c r="AU704" i="1"/>
  <c r="AV704" i="1"/>
  <c r="AU705" i="1"/>
  <c r="AV705" i="1"/>
  <c r="AU706" i="1"/>
  <c r="AV706" i="1"/>
  <c r="AU409" i="1"/>
  <c r="AV409" i="1"/>
  <c r="AU412" i="1"/>
  <c r="AV412" i="1"/>
  <c r="AU708" i="1"/>
  <c r="AV708" i="1"/>
  <c r="AU709" i="1"/>
  <c r="AV709" i="1"/>
  <c r="AU710" i="1"/>
  <c r="AV710" i="1"/>
  <c r="AU711" i="1"/>
  <c r="AV711" i="1"/>
  <c r="AU712" i="1"/>
  <c r="AV712" i="1"/>
  <c r="AU713" i="1"/>
  <c r="AV713" i="1"/>
  <c r="AU714" i="1"/>
  <c r="AV714" i="1"/>
  <c r="AV715" i="1"/>
  <c r="AV716" i="1"/>
  <c r="AU718" i="1"/>
  <c r="AV718" i="1"/>
  <c r="AU672" i="1"/>
  <c r="AV672" i="1"/>
  <c r="AU673" i="1"/>
  <c r="AV673" i="1"/>
  <c r="AV674" i="1"/>
  <c r="AU675" i="1"/>
  <c r="AV675" i="1"/>
  <c r="AU676" i="1"/>
  <c r="AV676" i="1"/>
  <c r="AU677" i="1"/>
  <c r="AV677" i="1"/>
  <c r="AU678" i="1"/>
  <c r="AV678" i="1"/>
  <c r="AU679" i="1"/>
  <c r="AV679" i="1"/>
  <c r="AU680" i="1"/>
  <c r="AV680" i="1"/>
  <c r="AU693" i="1"/>
  <c r="AV693" i="1"/>
  <c r="AU694" i="1"/>
  <c r="AV694" i="1"/>
  <c r="AV695" i="1"/>
  <c r="AU696" i="1"/>
  <c r="AV696" i="1"/>
  <c r="AU697" i="1"/>
  <c r="AV697" i="1"/>
  <c r="AU698" i="1"/>
  <c r="AV698" i="1"/>
  <c r="AU646" i="1"/>
  <c r="AV646" i="1"/>
  <c r="AV648" i="1"/>
  <c r="AU649" i="1"/>
  <c r="AV649" i="1"/>
  <c r="AU655" i="1"/>
  <c r="AV655" i="1"/>
  <c r="AU656" i="1"/>
  <c r="AV656" i="1"/>
  <c r="AU368" i="1"/>
  <c r="AV368" i="1"/>
  <c r="AU657" i="1"/>
  <c r="AV657" i="1"/>
  <c r="AU658" i="1"/>
  <c r="AV658" i="1"/>
  <c r="AU363" i="1"/>
  <c r="AV363" i="1"/>
  <c r="AU659" i="1"/>
  <c r="AV659" i="1"/>
  <c r="AU660" i="1"/>
  <c r="AV660" i="1"/>
  <c r="AU370" i="1"/>
  <c r="AV370" i="1"/>
  <c r="AV371" i="1"/>
  <c r="AU664" i="1"/>
  <c r="AV664" i="1"/>
  <c r="AV665" i="1"/>
  <c r="AU666" i="1"/>
  <c r="AV666" i="1"/>
  <c r="AU667" i="1"/>
  <c r="AV667" i="1"/>
  <c r="AU668" i="1"/>
  <c r="AV668" i="1"/>
  <c r="AU669" i="1"/>
  <c r="AV669" i="1"/>
  <c r="AU671" i="1"/>
  <c r="AV671" i="1"/>
  <c r="AU641" i="1"/>
  <c r="AV641" i="1"/>
  <c r="AU642" i="1"/>
  <c r="AV642" i="1"/>
  <c r="AV640" i="1"/>
  <c r="AU640" i="1"/>
  <c r="AU637" i="1"/>
  <c r="AV637" i="1"/>
  <c r="AU638" i="1"/>
  <c r="AV638" i="1"/>
  <c r="AU622" i="1"/>
  <c r="AV622" i="1"/>
  <c r="AU625" i="1"/>
  <c r="AV625" i="1"/>
  <c r="AU626" i="1"/>
  <c r="AV626" i="1"/>
  <c r="AU627" i="1"/>
  <c r="AV627" i="1"/>
  <c r="AU326" i="1"/>
  <c r="AV326" i="1"/>
  <c r="AU629" i="1"/>
  <c r="AV629" i="1"/>
  <c r="AU630" i="1"/>
  <c r="AV630" i="1"/>
  <c r="AU631" i="1"/>
  <c r="AV631" i="1"/>
  <c r="AU342" i="1"/>
  <c r="AV342" i="1"/>
  <c r="AU633" i="1"/>
  <c r="AV633" i="1"/>
  <c r="AU634" i="1"/>
  <c r="AV634" i="1"/>
  <c r="AU635" i="1"/>
  <c r="AV635" i="1"/>
  <c r="AV636" i="1"/>
  <c r="AU598" i="1"/>
  <c r="AV598" i="1"/>
  <c r="AU300" i="1"/>
  <c r="AV300" i="1"/>
  <c r="AU302" i="1"/>
  <c r="AV302" i="1"/>
  <c r="AU599" i="1"/>
  <c r="AV599" i="1"/>
  <c r="AU600" i="1"/>
  <c r="AV600" i="1"/>
  <c r="AU601" i="1"/>
  <c r="AV601" i="1"/>
  <c r="AU604" i="1"/>
  <c r="AV604" i="1"/>
  <c r="AU306" i="1"/>
  <c r="AV306" i="1"/>
  <c r="AU605" i="1"/>
  <c r="AV605" i="1"/>
  <c r="AU606" i="1"/>
  <c r="AV606" i="1"/>
  <c r="AU607" i="1"/>
  <c r="AV607" i="1"/>
  <c r="AU608" i="1"/>
  <c r="AV608" i="1"/>
  <c r="AU609" i="1"/>
  <c r="AV609" i="1"/>
  <c r="AU610" i="1"/>
  <c r="AV610" i="1"/>
  <c r="AV615" i="1"/>
  <c r="AU316" i="1"/>
  <c r="AV316" i="1"/>
  <c r="AU617" i="1"/>
  <c r="AV617" i="1"/>
  <c r="AU618" i="1"/>
  <c r="AV618" i="1"/>
  <c r="AU619" i="1"/>
  <c r="AV619" i="1"/>
  <c r="AV620" i="1"/>
  <c r="AU319" i="1"/>
  <c r="AV319" i="1"/>
  <c r="AU583" i="1"/>
  <c r="AV583" i="1"/>
  <c r="AU279" i="1"/>
  <c r="AV279" i="1"/>
  <c r="AU584" i="1"/>
  <c r="AV584" i="1"/>
  <c r="AU585" i="1"/>
  <c r="AV585" i="1"/>
  <c r="AV586" i="1"/>
  <c r="AU286" i="1"/>
  <c r="AV286" i="1"/>
  <c r="AU589" i="1"/>
  <c r="AV589" i="1"/>
  <c r="AV590" i="1"/>
  <c r="AU591" i="1"/>
  <c r="AV591" i="1"/>
  <c r="AU592" i="1"/>
  <c r="AV592" i="1"/>
  <c r="AU593" i="1"/>
  <c r="AV593" i="1"/>
  <c r="AU594" i="1"/>
  <c r="AV594" i="1"/>
  <c r="AV595" i="1"/>
  <c r="AU292" i="1"/>
  <c r="AV292" i="1"/>
  <c r="AU293" i="1"/>
  <c r="AV293" i="1"/>
  <c r="AU296" i="1"/>
  <c r="AV296" i="1"/>
  <c r="AU299" i="1"/>
  <c r="AV299" i="1"/>
  <c r="AV571" i="1"/>
  <c r="AU572" i="1"/>
  <c r="AV572" i="1"/>
  <c r="AV574" i="1"/>
  <c r="AV576" i="1"/>
  <c r="AU577" i="1"/>
  <c r="AV577" i="1"/>
  <c r="AU258" i="1"/>
  <c r="AV258" i="1"/>
  <c r="AU259" i="1"/>
  <c r="AV259" i="1"/>
  <c r="AU260" i="1"/>
  <c r="AV260" i="1"/>
  <c r="AU261" i="1"/>
  <c r="AV261" i="1"/>
  <c r="AV262" i="1"/>
  <c r="AU263" i="1"/>
  <c r="AV263" i="1"/>
  <c r="AU578" i="1"/>
  <c r="AV578" i="1"/>
  <c r="AU264" i="1"/>
  <c r="AV264" i="1"/>
  <c r="AU579" i="1"/>
  <c r="AV579" i="1"/>
  <c r="AU268" i="1"/>
  <c r="AV268" i="1"/>
  <c r="AU272" i="1"/>
  <c r="AV272" i="1"/>
  <c r="AU277" i="1"/>
  <c r="AV277" i="1"/>
  <c r="AU233" i="1"/>
  <c r="AV233" i="1"/>
  <c r="AV554" i="1"/>
  <c r="AU555" i="1"/>
  <c r="AV555" i="1"/>
  <c r="AU236" i="1"/>
  <c r="AV236" i="1"/>
  <c r="AV556" i="1"/>
  <c r="AU557" i="1"/>
  <c r="AV557" i="1"/>
  <c r="AV558" i="1"/>
  <c r="AU559" i="1"/>
  <c r="AV559" i="1"/>
  <c r="AU560" i="1"/>
  <c r="AV560" i="1"/>
  <c r="AU561" i="1"/>
  <c r="AV561" i="1"/>
  <c r="AU562" i="1"/>
  <c r="AV562" i="1"/>
  <c r="AU243" i="1"/>
  <c r="AV243" i="1"/>
  <c r="AU245" i="1"/>
  <c r="AV245" i="1"/>
  <c r="AU566" i="1"/>
  <c r="AV566" i="1"/>
  <c r="AU567" i="1"/>
  <c r="AV567" i="1"/>
  <c r="AU246" i="1"/>
  <c r="AV246" i="1"/>
  <c r="AV570" i="1"/>
  <c r="AV553" i="1"/>
  <c r="AU553" i="1"/>
  <c r="AU550" i="1"/>
  <c r="AV550" i="1"/>
  <c r="AU232" i="1"/>
  <c r="AV232" i="1"/>
  <c r="AV548" i="1"/>
  <c r="AU548" i="1"/>
  <c r="AU531" i="1"/>
  <c r="AV531" i="1"/>
  <c r="AU532" i="1"/>
  <c r="AV532" i="1"/>
  <c r="AU230" i="1"/>
  <c r="AV230" i="1"/>
  <c r="AV534" i="1"/>
  <c r="AU535" i="1"/>
  <c r="AV535" i="1"/>
  <c r="AU536" i="1"/>
  <c r="AV536" i="1"/>
  <c r="AV537" i="1"/>
  <c r="AU538" i="1"/>
  <c r="AV538" i="1"/>
  <c r="AU539" i="1"/>
  <c r="AV539" i="1"/>
  <c r="AU540" i="1"/>
  <c r="AV540" i="1"/>
  <c r="AU542" i="1"/>
  <c r="AV542" i="1"/>
  <c r="AU543" i="1"/>
  <c r="AV543" i="1"/>
  <c r="AV513" i="1"/>
  <c r="AU220" i="1"/>
  <c r="AV220" i="1"/>
  <c r="AU221" i="1"/>
  <c r="AV221" i="1"/>
  <c r="AU222" i="1"/>
  <c r="AV222" i="1"/>
  <c r="AU516" i="1"/>
  <c r="AV516" i="1"/>
  <c r="AU517" i="1"/>
  <c r="AV517" i="1"/>
  <c r="AU518" i="1"/>
  <c r="AV518" i="1"/>
  <c r="AU223" i="1"/>
  <c r="AV223" i="1"/>
  <c r="AV224" i="1"/>
  <c r="AU520" i="1"/>
  <c r="AV520" i="1"/>
  <c r="AV521" i="1"/>
  <c r="AV522" i="1"/>
  <c r="AU528" i="1"/>
  <c r="AV528" i="1"/>
  <c r="AU529" i="1"/>
  <c r="AV529" i="1"/>
  <c r="AU530" i="1"/>
  <c r="AV530" i="1"/>
  <c r="AV512" i="1"/>
  <c r="AU512" i="1"/>
  <c r="AV508" i="1"/>
  <c r="AU508" i="1"/>
  <c r="AV219" i="1"/>
  <c r="AU219" i="1"/>
  <c r="AU501" i="1"/>
  <c r="AV501" i="1"/>
  <c r="AV499" i="1"/>
  <c r="AU499" i="1"/>
  <c r="AU207" i="1"/>
  <c r="AV207" i="1"/>
  <c r="AU208" i="1"/>
  <c r="AV208" i="1"/>
  <c r="AU479" i="1"/>
  <c r="AV479" i="1"/>
  <c r="AU480" i="1"/>
  <c r="AV480" i="1"/>
  <c r="AU482" i="1"/>
  <c r="AV482" i="1"/>
  <c r="AU483" i="1"/>
  <c r="AV483" i="1"/>
  <c r="AV213" i="1"/>
  <c r="AU488" i="1"/>
  <c r="AV488" i="1"/>
  <c r="AU489" i="1"/>
  <c r="AV489" i="1"/>
  <c r="AU490" i="1"/>
  <c r="AV490" i="1"/>
  <c r="AU214" i="1"/>
  <c r="AV214" i="1"/>
  <c r="AV478" i="1"/>
  <c r="AU478" i="1"/>
  <c r="AU458" i="1"/>
  <c r="AV458" i="1"/>
  <c r="AU459" i="1"/>
  <c r="AV459" i="1"/>
  <c r="AU460" i="1"/>
  <c r="AV460" i="1"/>
  <c r="AU461" i="1"/>
  <c r="AV461" i="1"/>
  <c r="AU462" i="1"/>
  <c r="AV462" i="1"/>
  <c r="AU463" i="1"/>
  <c r="AV463" i="1"/>
  <c r="AU464" i="1"/>
  <c r="AV464" i="1"/>
  <c r="AU465" i="1"/>
  <c r="AV465" i="1"/>
  <c r="AU785" i="1"/>
  <c r="AV785" i="1"/>
  <c r="AU468" i="1"/>
  <c r="AV468" i="1"/>
  <c r="AU469" i="1"/>
  <c r="AV469" i="1"/>
  <c r="AU470" i="1"/>
  <c r="AV470" i="1"/>
  <c r="AU790" i="1"/>
  <c r="AV790" i="1"/>
  <c r="AU471" i="1"/>
  <c r="AV471" i="1"/>
  <c r="AU473" i="1"/>
  <c r="AV473" i="1"/>
  <c r="AU474" i="1"/>
  <c r="AV474" i="1"/>
  <c r="AU475" i="1"/>
  <c r="AV475" i="1"/>
  <c r="AU761" i="1"/>
  <c r="AV761" i="1"/>
  <c r="AU762" i="1"/>
  <c r="AV762" i="1"/>
  <c r="AU763" i="1"/>
  <c r="AV763" i="1"/>
  <c r="AU764" i="1"/>
  <c r="AV764" i="1"/>
  <c r="AU765" i="1"/>
  <c r="AV765" i="1"/>
  <c r="AU766" i="1"/>
  <c r="AV766" i="1"/>
  <c r="AV767" i="1"/>
  <c r="AU768" i="1"/>
  <c r="AV768" i="1"/>
  <c r="AU769" i="1"/>
  <c r="AV769" i="1"/>
  <c r="AU445" i="1"/>
  <c r="AV445" i="1"/>
  <c r="AU771" i="1"/>
  <c r="AV771" i="1"/>
  <c r="AU446" i="1"/>
  <c r="AV446" i="1"/>
  <c r="AV772" i="1"/>
  <c r="AU773" i="1"/>
  <c r="AV773" i="1"/>
  <c r="AU447" i="1"/>
  <c r="AV447" i="1"/>
  <c r="AU770" i="1"/>
  <c r="AV770" i="1"/>
  <c r="AU456" i="1"/>
  <c r="AV456" i="1"/>
  <c r="AV457" i="1"/>
  <c r="AU743" i="1"/>
  <c r="AV743" i="1"/>
  <c r="AU744" i="1"/>
  <c r="AV744" i="1"/>
  <c r="AU431" i="1"/>
  <c r="AV431" i="1"/>
  <c r="AU432" i="1"/>
  <c r="AV432" i="1"/>
  <c r="AU746" i="1"/>
  <c r="AV746" i="1"/>
  <c r="AU433" i="1"/>
  <c r="AV433" i="1"/>
  <c r="AU434" i="1"/>
  <c r="AV434" i="1"/>
  <c r="AU435" i="1"/>
  <c r="AV435" i="1"/>
  <c r="AU436" i="1"/>
  <c r="AV436" i="1"/>
  <c r="AU749" i="1"/>
  <c r="AV749" i="1"/>
  <c r="AU750" i="1"/>
  <c r="AV750" i="1"/>
  <c r="AU437" i="1"/>
  <c r="AV437" i="1"/>
  <c r="AU438" i="1"/>
  <c r="AV438" i="1"/>
  <c r="AU754" i="1"/>
  <c r="AV754" i="1"/>
  <c r="AV439" i="1"/>
  <c r="AV440" i="1"/>
  <c r="AV441" i="1"/>
  <c r="AU442" i="1"/>
  <c r="AV442" i="1"/>
  <c r="AV443" i="1"/>
  <c r="AU444" i="1"/>
  <c r="AV444" i="1"/>
  <c r="AU760" i="1"/>
  <c r="AV760" i="1"/>
  <c r="AV430" i="1"/>
  <c r="AU430" i="1"/>
  <c r="AU429" i="1"/>
  <c r="AV429" i="1"/>
  <c r="AU740" i="1"/>
  <c r="AV740" i="1"/>
  <c r="AU419" i="1"/>
  <c r="AV419" i="1"/>
  <c r="AU421" i="1"/>
  <c r="AV421" i="1"/>
  <c r="AU423" i="1"/>
  <c r="AV423" i="1"/>
  <c r="AU717" i="1"/>
  <c r="AV717" i="1"/>
  <c r="AU719" i="1"/>
  <c r="AV719" i="1"/>
  <c r="AU426" i="1"/>
  <c r="AV426" i="1"/>
  <c r="AU721" i="1"/>
  <c r="AV721" i="1"/>
  <c r="AU735" i="1"/>
  <c r="AV735" i="1"/>
  <c r="AU428" i="1"/>
  <c r="AV428" i="1"/>
  <c r="AV413" i="1"/>
  <c r="AU413" i="1"/>
  <c r="AU692" i="1"/>
  <c r="AV692" i="1"/>
  <c r="AV406" i="1"/>
  <c r="AU407" i="1"/>
  <c r="AV407" i="1"/>
  <c r="AV405" i="1"/>
  <c r="AU405" i="1"/>
  <c r="AV690" i="1"/>
  <c r="AU690" i="1"/>
  <c r="AU689" i="1"/>
  <c r="AV689" i="1"/>
  <c r="AU683" i="1"/>
  <c r="AV683" i="1"/>
  <c r="AU395" i="1"/>
  <c r="AV395" i="1"/>
  <c r="AU396" i="1"/>
  <c r="AV396" i="1"/>
  <c r="AU684" i="1"/>
  <c r="AV684" i="1"/>
  <c r="AU398" i="1"/>
  <c r="AV398" i="1"/>
  <c r="AU685" i="1"/>
  <c r="AV685" i="1"/>
  <c r="AU686" i="1"/>
  <c r="AV686" i="1"/>
  <c r="AU687" i="1"/>
  <c r="AV687" i="1"/>
  <c r="AU399" i="1"/>
  <c r="AV399" i="1"/>
  <c r="AU400" i="1"/>
  <c r="AV400" i="1"/>
  <c r="AU401" i="1"/>
  <c r="AV401" i="1"/>
  <c r="AV682" i="1"/>
  <c r="AU682" i="1"/>
  <c r="AU356" i="1"/>
  <c r="AV356" i="1"/>
  <c r="AU357" i="1"/>
  <c r="AV357" i="1"/>
  <c r="AU359" i="1"/>
  <c r="AV359" i="1"/>
  <c r="AU360" i="1"/>
  <c r="AV360" i="1"/>
  <c r="AU650" i="1"/>
  <c r="AV650" i="1"/>
  <c r="AU651" i="1"/>
  <c r="AV651" i="1"/>
  <c r="AU361" i="1"/>
  <c r="AV361" i="1"/>
  <c r="AU362" i="1"/>
  <c r="AV362" i="1"/>
  <c r="AV364" i="1"/>
  <c r="AU138" i="1"/>
  <c r="AV138" i="1"/>
  <c r="AU381" i="1"/>
  <c r="AV381" i="1"/>
  <c r="AU382" i="1"/>
  <c r="AV382" i="1"/>
  <c r="AV383" i="1"/>
  <c r="AU385" i="1"/>
  <c r="AV385" i="1"/>
  <c r="AU386" i="1"/>
  <c r="AV386" i="1"/>
  <c r="AU387" i="1"/>
  <c r="AV387" i="1"/>
  <c r="AU388" i="1"/>
  <c r="AV388" i="1"/>
  <c r="AU389" i="1"/>
  <c r="AV389" i="1"/>
  <c r="AU390" i="1"/>
  <c r="AV390" i="1"/>
  <c r="AU391" i="1"/>
  <c r="AV391" i="1"/>
  <c r="AU392" i="1"/>
  <c r="AV392" i="1"/>
  <c r="AU681" i="1"/>
  <c r="AV681" i="1"/>
  <c r="AU330" i="1"/>
  <c r="AV330" i="1"/>
  <c r="AU331" i="1"/>
  <c r="AV331" i="1"/>
  <c r="AU332" i="1"/>
  <c r="AV332" i="1"/>
  <c r="AU333" i="1"/>
  <c r="AV333" i="1"/>
  <c r="AU334" i="1"/>
  <c r="AV334" i="1"/>
  <c r="AU335" i="1"/>
  <c r="AV335" i="1"/>
  <c r="AU336" i="1"/>
  <c r="AV336" i="1"/>
  <c r="AU337" i="1"/>
  <c r="AV337" i="1"/>
  <c r="AU338" i="1"/>
  <c r="AV338" i="1"/>
  <c r="AU112" i="1"/>
  <c r="AV112" i="1"/>
  <c r="AU339" i="1"/>
  <c r="AV339" i="1"/>
  <c r="AU340" i="1"/>
  <c r="AV340" i="1"/>
  <c r="AU341" i="1"/>
  <c r="AV341" i="1"/>
  <c r="AU343" i="1"/>
  <c r="AV343" i="1"/>
  <c r="AU344" i="1"/>
  <c r="AV344" i="1"/>
  <c r="AU345" i="1"/>
  <c r="AV345" i="1"/>
  <c r="AU346" i="1"/>
  <c r="AV346" i="1"/>
  <c r="AV347" i="1"/>
  <c r="AU352" i="1"/>
  <c r="AV352" i="1"/>
  <c r="AU643" i="1"/>
  <c r="AV643" i="1"/>
  <c r="AU354" i="1"/>
  <c r="AV354" i="1"/>
  <c r="AU320" i="1"/>
  <c r="AV320" i="1"/>
  <c r="AU321" i="1"/>
  <c r="AV321" i="1"/>
  <c r="AU322" i="1"/>
  <c r="AV322" i="1"/>
  <c r="AU623" i="1"/>
  <c r="AV623" i="1"/>
  <c r="AV323" i="1"/>
  <c r="AU106" i="1"/>
  <c r="AV106" i="1"/>
  <c r="AU325" i="1"/>
  <c r="AV325" i="1"/>
  <c r="AU328" i="1"/>
  <c r="AV328" i="1"/>
  <c r="AU329" i="1"/>
  <c r="AV329" i="1"/>
  <c r="AV317" i="1"/>
  <c r="AU314" i="1"/>
  <c r="AV314" i="1"/>
  <c r="AU305" i="1"/>
  <c r="AV305" i="1"/>
  <c r="AU307" i="1"/>
  <c r="AV307" i="1"/>
  <c r="AU308" i="1"/>
  <c r="AV308" i="1"/>
  <c r="AU310" i="1"/>
  <c r="AV310" i="1"/>
  <c r="AU311" i="1"/>
  <c r="AV311" i="1"/>
  <c r="AU312" i="1"/>
  <c r="AV312" i="1"/>
  <c r="AU313" i="1"/>
  <c r="AV313" i="1"/>
  <c r="AV304" i="1"/>
  <c r="AU304" i="1"/>
  <c r="AU301" i="1"/>
  <c r="AV301" i="1"/>
  <c r="AV291" i="1"/>
  <c r="AU295" i="1"/>
  <c r="AV295" i="1"/>
  <c r="AU297" i="1"/>
  <c r="AV297" i="1"/>
  <c r="AU298" i="1"/>
  <c r="AV298" i="1"/>
  <c r="AU255" i="1"/>
  <c r="AV255" i="1"/>
  <c r="AV256" i="1"/>
  <c r="AU257" i="1"/>
  <c r="AV257" i="1"/>
  <c r="AU266" i="1"/>
  <c r="AV266" i="1"/>
  <c r="AU69" i="1"/>
  <c r="AV69" i="1"/>
  <c r="AU269" i="1"/>
  <c r="AV269" i="1"/>
  <c r="AU271" i="1"/>
  <c r="AV271" i="1"/>
  <c r="AU273" i="1"/>
  <c r="AV273" i="1"/>
  <c r="AU275" i="1"/>
  <c r="AV275" i="1"/>
  <c r="AU278" i="1"/>
  <c r="AV278" i="1"/>
  <c r="AU280" i="1"/>
  <c r="AV280" i="1"/>
  <c r="AU281" i="1"/>
  <c r="AV281" i="1"/>
  <c r="AU282" i="1"/>
  <c r="AV282" i="1"/>
  <c r="AU283" i="1"/>
  <c r="AV283" i="1"/>
  <c r="AU285" i="1"/>
  <c r="AV285" i="1"/>
  <c r="AU288" i="1"/>
  <c r="AV288" i="1"/>
  <c r="AU290" i="1"/>
  <c r="AV290" i="1"/>
  <c r="AU249" i="1"/>
  <c r="AV249" i="1"/>
  <c r="AU250" i="1"/>
  <c r="AV250" i="1"/>
  <c r="AU519" i="1"/>
  <c r="AV519" i="1"/>
  <c r="AU533" i="1"/>
  <c r="AV533" i="1"/>
  <c r="AU541" i="1"/>
  <c r="AV541" i="1"/>
  <c r="AU551" i="1"/>
  <c r="AV551" i="1"/>
  <c r="AU552" i="1"/>
  <c r="AV552" i="1"/>
  <c r="AU252" i="1"/>
  <c r="AV252" i="1"/>
  <c r="AU253" i="1"/>
  <c r="AV253" i="1"/>
  <c r="AU254" i="1"/>
  <c r="AV254" i="1"/>
  <c r="AU248" i="1"/>
  <c r="AV248" i="1"/>
  <c r="AU575" i="1"/>
  <c r="AV575" i="1"/>
  <c r="AV573" i="1"/>
  <c r="AU573" i="1"/>
  <c r="AV239" i="1"/>
  <c r="AU241" i="1"/>
  <c r="AV241" i="1"/>
  <c r="AU242" i="1"/>
  <c r="AV242" i="1"/>
  <c r="AU244" i="1"/>
  <c r="AV244" i="1"/>
  <c r="AU515" i="1"/>
  <c r="AV515" i="1"/>
  <c r="AU225" i="1"/>
  <c r="AV225" i="1"/>
  <c r="AU523" i="1"/>
  <c r="AV523" i="1"/>
  <c r="AU524" i="1"/>
  <c r="AV524" i="1"/>
  <c r="AU525" i="1"/>
  <c r="AV525" i="1"/>
  <c r="AU526" i="1"/>
  <c r="AV526" i="1"/>
  <c r="AU527" i="1"/>
  <c r="AV527" i="1"/>
  <c r="AU545" i="1"/>
  <c r="AV545" i="1"/>
  <c r="AU546" i="1"/>
  <c r="AV546" i="1"/>
  <c r="AU547" i="1"/>
  <c r="AV547" i="1"/>
  <c r="AU237" i="1"/>
  <c r="AV237" i="1"/>
  <c r="AV514" i="1"/>
  <c r="AU514" i="1"/>
  <c r="AU498" i="1"/>
  <c r="AV498" i="1"/>
  <c r="AU502" i="1"/>
  <c r="AV502" i="1"/>
  <c r="AU500" i="1"/>
  <c r="AV500" i="1"/>
  <c r="AU509" i="1"/>
  <c r="AV509" i="1"/>
  <c r="AU511" i="1"/>
  <c r="AV511" i="1"/>
  <c r="AU485" i="1"/>
  <c r="AV485" i="1"/>
  <c r="AV210" i="1"/>
  <c r="AU211" i="1"/>
  <c r="AV211" i="1"/>
  <c r="AU212" i="1"/>
  <c r="AV212" i="1"/>
  <c r="AU487" i="1"/>
  <c r="AV487" i="1"/>
  <c r="AU216" i="1"/>
  <c r="AV216" i="1"/>
  <c r="AV217" i="1"/>
  <c r="AV218" i="1"/>
  <c r="AV209" i="1"/>
  <c r="AQ602" i="1" l="1"/>
  <c r="R602" i="1" s="1"/>
  <c r="AQ603" i="1"/>
  <c r="R603" i="1" s="1"/>
  <c r="AT204" i="1"/>
  <c r="AT205" i="1"/>
  <c r="AS248" i="1"/>
  <c r="AT544" i="1" s="1"/>
  <c r="AR248" i="1"/>
  <c r="Z248" i="1"/>
  <c r="X248" i="1"/>
  <c r="N248" i="1"/>
  <c r="E257" i="10"/>
  <c r="T603" i="1" l="1"/>
  <c r="T602" i="1"/>
  <c r="U248" i="1"/>
  <c r="V248" i="1"/>
  <c r="N602" i="1" l="1"/>
  <c r="AP602" i="1" s="1"/>
  <c r="N603" i="1"/>
  <c r="N544" i="1"/>
  <c r="AP544" i="1" l="1"/>
  <c r="U544" i="1"/>
  <c r="V602" i="1"/>
  <c r="U602" i="1"/>
  <c r="V603" i="1"/>
  <c r="AP603" i="1"/>
  <c r="U603" i="1"/>
  <c r="AS568" i="1"/>
  <c r="AS569" i="1"/>
  <c r="AS410" i="1"/>
  <c r="AS404" i="1"/>
  <c r="AT404" i="1" s="1"/>
  <c r="AS403" i="1"/>
  <c r="AT403" i="1" s="1"/>
  <c r="AS402" i="1"/>
  <c r="AT402" i="1" s="1"/>
  <c r="AS394" i="1"/>
  <c r="AT394" i="1" s="1"/>
  <c r="AS303" i="1"/>
  <c r="AS127" i="1"/>
  <c r="AT127" i="1" s="1"/>
  <c r="AS267" i="1"/>
  <c r="R353" i="1"/>
  <c r="R510" i="1"/>
  <c r="S510" i="1" s="1"/>
  <c r="AT510" i="1" s="1"/>
  <c r="R505" i="1"/>
  <c r="R506" i="1"/>
  <c r="R504" i="1"/>
  <c r="AR403" i="1"/>
  <c r="AR404" i="1"/>
  <c r="AR402" i="1"/>
  <c r="AR394" i="1"/>
  <c r="AR303" i="1"/>
  <c r="R303" i="1" s="1"/>
  <c r="AR568" i="1"/>
  <c r="R568" i="1" s="1"/>
  <c r="AR569" i="1"/>
  <c r="R569" i="1" s="1"/>
  <c r="AR127" i="1"/>
  <c r="AR267" i="1"/>
  <c r="AR410" i="1"/>
  <c r="R410" i="1" s="1"/>
  <c r="E577" i="10"/>
  <c r="E578" i="10"/>
  <c r="S251" i="1" l="1"/>
  <c r="T251" i="1" s="1"/>
  <c r="N251" i="1" s="1"/>
  <c r="N510" i="1"/>
  <c r="S639" i="1"/>
  <c r="AT639" i="1" s="1"/>
  <c r="R503" i="1"/>
  <c r="AP510" i="1" l="1"/>
  <c r="U510" i="1"/>
  <c r="V510" i="1"/>
  <c r="V251" i="1"/>
  <c r="U251" i="1"/>
  <c r="AP251" i="1"/>
  <c r="R497" i="1" l="1"/>
  <c r="Z497" i="1"/>
  <c r="X497" i="1"/>
  <c r="AD503" i="1" l="1"/>
  <c r="Z639" i="1" l="1"/>
  <c r="X639" i="1"/>
  <c r="S353" i="1"/>
  <c r="T639" i="1"/>
  <c r="Y410" i="1"/>
  <c r="E419" i="10"/>
  <c r="Z303" i="1"/>
  <c r="X303" i="1"/>
  <c r="E312" i="10"/>
  <c r="P402" i="1"/>
  <c r="P404" i="1"/>
  <c r="P403" i="1"/>
  <c r="P394" i="1"/>
  <c r="E411" i="10"/>
  <c r="E413" i="10"/>
  <c r="E412" i="10"/>
  <c r="E403" i="10"/>
  <c r="E276" i="10"/>
  <c r="T267" i="1"/>
  <c r="P267" i="1"/>
  <c r="E136" i="10"/>
  <c r="R127" i="1" l="1"/>
  <c r="N353" i="1"/>
  <c r="AP353" i="1" s="1"/>
  <c r="AT353" i="1"/>
  <c r="N639" i="1"/>
  <c r="AP639" i="1" s="1"/>
  <c r="T127" i="1" l="1"/>
  <c r="N127" i="1" s="1"/>
  <c r="AP127" i="1" s="1"/>
  <c r="U639" i="1"/>
  <c r="U353" i="1"/>
  <c r="U127" i="1" l="1"/>
  <c r="V127" i="1"/>
  <c r="AS49" i="1"/>
  <c r="AT49" i="1" s="1"/>
  <c r="AR49" i="1"/>
  <c r="E58" i="10"/>
  <c r="S163" i="1"/>
  <c r="AT163" i="1" s="1"/>
  <c r="AR163" i="1"/>
  <c r="Z163" i="1"/>
  <c r="X163" i="1"/>
  <c r="E172" i="10"/>
  <c r="P20" i="1" l="1"/>
  <c r="P17" i="1" l="1"/>
  <c r="P14" i="1" s="1"/>
  <c r="AP5" i="1" s="1"/>
  <c r="AQ5" i="1" s="1"/>
  <c r="AP8" i="1" l="1"/>
  <c r="AP7" i="1" s="1"/>
  <c r="AP11" i="1"/>
  <c r="AU522" i="1" l="1"/>
  <c r="AR338" i="1" l="1"/>
  <c r="Z338" i="1"/>
  <c r="X338" i="1"/>
  <c r="E347" i="10"/>
  <c r="AR256" i="1"/>
  <c r="Z256" i="1"/>
  <c r="X256" i="1"/>
  <c r="E265" i="10"/>
  <c r="AS175" i="1" l="1"/>
  <c r="AT175" i="1" s="1"/>
  <c r="AR175" i="1"/>
  <c r="Z175" i="1"/>
  <c r="X175" i="1"/>
  <c r="E184" i="10"/>
  <c r="AS174" i="1"/>
  <c r="AR174" i="1"/>
  <c r="AQ174" i="1"/>
  <c r="Z174" i="1"/>
  <c r="X174" i="1"/>
  <c r="E183" i="10"/>
  <c r="E402" i="10"/>
  <c r="AQ291" i="1"/>
  <c r="AS79" i="1"/>
  <c r="AR79" i="1"/>
  <c r="AQ79" i="1"/>
  <c r="Z79" i="1"/>
  <c r="X79" i="1"/>
  <c r="E88" i="10"/>
  <c r="AU554" i="1" l="1"/>
  <c r="P174" i="10" l="1"/>
  <c r="P26" i="10" s="1"/>
  <c r="P23" i="10" s="1"/>
  <c r="AS295" i="1"/>
  <c r="S295" i="1" s="1"/>
  <c r="AQ295" i="1"/>
  <c r="T304" i="10"/>
  <c r="T215" i="10" s="1"/>
  <c r="AS475" i="1"/>
  <c r="AR475" i="1"/>
  <c r="AQ475" i="1"/>
  <c r="AO475" i="1"/>
  <c r="AN475" i="1"/>
  <c r="AM475" i="1"/>
  <c r="X475" i="1"/>
  <c r="AR474" i="1"/>
  <c r="Z474" i="1"/>
  <c r="X474" i="1"/>
  <c r="E484" i="10"/>
  <c r="E483" i="10"/>
  <c r="AS393" i="1"/>
  <c r="AT393" i="1" s="1"/>
  <c r="AR393" i="1"/>
  <c r="Z393" i="1"/>
  <c r="X393" i="1"/>
  <c r="AS360" i="1"/>
  <c r="AR360" i="1"/>
  <c r="Z360" i="1"/>
  <c r="X360" i="1"/>
  <c r="E369" i="10"/>
  <c r="AR337" i="1"/>
  <c r="Z337" i="1"/>
  <c r="X337" i="1"/>
  <c r="E346" i="10"/>
  <c r="AS322" i="1"/>
  <c r="AR322" i="1"/>
  <c r="R322" i="1" s="1"/>
  <c r="Z322" i="1"/>
  <c r="X322" i="1"/>
  <c r="E331" i="10"/>
  <c r="AS310" i="1"/>
  <c r="AR310" i="1"/>
  <c r="R310" i="1" s="1"/>
  <c r="Z310" i="1"/>
  <c r="X310" i="1"/>
  <c r="E319" i="10"/>
  <c r="AR301" i="1"/>
  <c r="Z301" i="1"/>
  <c r="X301" i="1"/>
  <c r="E310" i="10"/>
  <c r="AR271" i="1"/>
  <c r="Z271" i="1"/>
  <c r="X271" i="1"/>
  <c r="E280" i="10"/>
  <c r="AS173" i="1"/>
  <c r="AR173" i="1"/>
  <c r="AQ762" i="1" s="1"/>
  <c r="AQ173" i="1"/>
  <c r="Z173" i="1"/>
  <c r="X173" i="1"/>
  <c r="E182" i="10"/>
  <c r="AS154" i="1"/>
  <c r="S154" i="1" s="1"/>
  <c r="AR154" i="1"/>
  <c r="AQ426" i="1" s="1"/>
  <c r="Z154" i="1"/>
  <c r="X154" i="1"/>
  <c r="E163" i="10"/>
  <c r="AS97" i="1"/>
  <c r="AR97" i="1"/>
  <c r="AQ97" i="1"/>
  <c r="Z97" i="1"/>
  <c r="X97" i="1"/>
  <c r="E106" i="10"/>
  <c r="AS75" i="1"/>
  <c r="AR75" i="1"/>
  <c r="Z75" i="1"/>
  <c r="X75" i="1"/>
  <c r="E84" i="10"/>
  <c r="AS52" i="1"/>
  <c r="AR52" i="1"/>
  <c r="Z52" i="1"/>
  <c r="X52" i="1"/>
  <c r="E61" i="10"/>
  <c r="R360" i="1" l="1"/>
  <c r="AQ649" i="1" s="1"/>
  <c r="S360" i="1"/>
  <c r="S367" i="1"/>
  <c r="N276" i="1"/>
  <c r="Z475" i="1"/>
  <c r="R475" i="1"/>
  <c r="R97" i="1"/>
  <c r="AS649" i="1" l="1"/>
  <c r="AT360" i="1"/>
  <c r="T367" i="1"/>
  <c r="N367" i="1" s="1"/>
  <c r="AP367" i="1" s="1"/>
  <c r="AS656" i="1"/>
  <c r="AT367" i="1"/>
  <c r="AP276" i="1"/>
  <c r="U276" i="1"/>
  <c r="V276" i="1"/>
  <c r="V367" i="1" l="1"/>
  <c r="U367" i="1"/>
  <c r="N205" i="1" l="1"/>
  <c r="N204" i="1"/>
  <c r="N203" i="1"/>
  <c r="V204" i="1" l="1"/>
  <c r="U205" i="1"/>
  <c r="E213" i="10"/>
  <c r="E214" i="10"/>
  <c r="V205" i="1" l="1"/>
  <c r="U204" i="1"/>
  <c r="E186" i="10" l="1"/>
  <c r="AQ152" i="1" l="1"/>
  <c r="AS147" i="1"/>
  <c r="AS442" i="1" l="1"/>
  <c r="AQ442" i="1"/>
  <c r="AQ764" i="1"/>
  <c r="AQ763" i="1"/>
  <c r="AS764" i="1"/>
  <c r="AS763" i="1"/>
  <c r="AS433" i="1"/>
  <c r="AQ433" i="1"/>
  <c r="R36" i="10" l="1"/>
  <c r="R26" i="10" s="1"/>
  <c r="R23" i="10" s="1"/>
  <c r="E23" i="10" s="1"/>
  <c r="E212" i="10" l="1"/>
  <c r="AS203" i="1" l="1"/>
  <c r="AT203" i="1" s="1"/>
  <c r="AR203" i="1"/>
  <c r="Z203" i="1"/>
  <c r="X203" i="1"/>
  <c r="V203" i="1" l="1"/>
  <c r="U203" i="1"/>
  <c r="AS413" i="1" l="1"/>
  <c r="AR413" i="1"/>
  <c r="R413" i="1" s="1"/>
  <c r="E422" i="10"/>
  <c r="E323" i="10" l="1"/>
  <c r="AS178" i="1"/>
  <c r="AR178" i="1"/>
  <c r="Z178" i="1"/>
  <c r="X178" i="1"/>
  <c r="E187" i="10"/>
  <c r="AS169" i="1"/>
  <c r="AR169" i="1"/>
  <c r="Z169" i="1"/>
  <c r="X169" i="1"/>
  <c r="E178" i="10"/>
  <c r="AS168" i="1"/>
  <c r="AR168" i="1"/>
  <c r="Z168" i="1"/>
  <c r="X168" i="1"/>
  <c r="E177" i="10"/>
  <c r="S168" i="1" s="1"/>
  <c r="AS144" i="1"/>
  <c r="S144" i="1" s="1"/>
  <c r="AT144" i="1" s="1"/>
  <c r="AR144" i="1"/>
  <c r="AQ144" i="1"/>
  <c r="Z144" i="1"/>
  <c r="X144" i="1"/>
  <c r="AS143" i="1"/>
  <c r="AR143" i="1"/>
  <c r="AQ143" i="1"/>
  <c r="Z143" i="1"/>
  <c r="X143" i="1"/>
  <c r="AS142" i="1"/>
  <c r="AR142" i="1"/>
  <c r="AQ142" i="1"/>
  <c r="Z142" i="1"/>
  <c r="X142" i="1"/>
  <c r="AS141" i="1"/>
  <c r="S141" i="1" s="1"/>
  <c r="AT141" i="1" s="1"/>
  <c r="AR141" i="1"/>
  <c r="AQ141" i="1"/>
  <c r="Z141" i="1"/>
  <c r="X141" i="1"/>
  <c r="E153" i="10"/>
  <c r="E152" i="10"/>
  <c r="E151" i="10"/>
  <c r="E150" i="10"/>
  <c r="AS140" i="1"/>
  <c r="AR140" i="1"/>
  <c r="AQ140" i="1"/>
  <c r="Z140" i="1"/>
  <c r="X140" i="1"/>
  <c r="E149" i="10"/>
  <c r="AS122" i="1"/>
  <c r="S122" i="1" s="1"/>
  <c r="AR122" i="1"/>
  <c r="Y122" i="1"/>
  <c r="E131" i="10"/>
  <c r="AS76" i="1"/>
  <c r="AR76" i="1"/>
  <c r="R76" i="1" s="1"/>
  <c r="Z76" i="1"/>
  <c r="X76" i="1"/>
  <c r="E85" i="10"/>
  <c r="AS58" i="1"/>
  <c r="S58" i="1" s="1"/>
  <c r="AR58" i="1"/>
  <c r="R58" i="1" s="1"/>
  <c r="Z58" i="1"/>
  <c r="X58" i="1"/>
  <c r="E67" i="10"/>
  <c r="AS60" i="1"/>
  <c r="AR60" i="1"/>
  <c r="AQ60" i="1"/>
  <c r="Z60" i="1"/>
  <c r="X60" i="1"/>
  <c r="AS26" i="1"/>
  <c r="AR26" i="1"/>
  <c r="Z26" i="1"/>
  <c r="X26" i="1"/>
  <c r="E35" i="10"/>
  <c r="AS473" i="1"/>
  <c r="AR473" i="1"/>
  <c r="AQ473" i="1"/>
  <c r="Z473" i="1"/>
  <c r="X473" i="1"/>
  <c r="E482" i="10"/>
  <c r="S438" i="1"/>
  <c r="AR438" i="1"/>
  <c r="AQ438" i="1"/>
  <c r="Z438" i="1"/>
  <c r="X438" i="1"/>
  <c r="E447" i="10"/>
  <c r="AR423" i="1"/>
  <c r="Z423" i="1"/>
  <c r="X423" i="1"/>
  <c r="AR421" i="1"/>
  <c r="Z421" i="1"/>
  <c r="X421" i="1"/>
  <c r="AS419" i="1"/>
  <c r="S419" i="1" s="1"/>
  <c r="AR419" i="1"/>
  <c r="R419" i="1" s="1"/>
  <c r="Z419" i="1"/>
  <c r="X419" i="1"/>
  <c r="E432" i="10"/>
  <c r="E430" i="10"/>
  <c r="E428" i="10"/>
  <c r="AR407" i="1"/>
  <c r="Z407" i="1"/>
  <c r="X407" i="1"/>
  <c r="AR406" i="1"/>
  <c r="Z406" i="1"/>
  <c r="X406" i="1"/>
  <c r="E416" i="10"/>
  <c r="E415" i="10"/>
  <c r="T419" i="1" l="1"/>
  <c r="N419" i="1" s="1"/>
  <c r="AT122" i="1"/>
  <c r="R407" i="1"/>
  <c r="AT168" i="1"/>
  <c r="AT406" i="1"/>
  <c r="AT438" i="1"/>
  <c r="R142" i="1"/>
  <c r="R140" i="1"/>
  <c r="AQ387" i="1" s="1"/>
  <c r="R144" i="1"/>
  <c r="R141" i="1"/>
  <c r="R143" i="1"/>
  <c r="R473" i="1"/>
  <c r="AR364" i="1"/>
  <c r="Z364" i="1"/>
  <c r="X364" i="1"/>
  <c r="E373" i="10"/>
  <c r="AS352" i="1"/>
  <c r="AR352" i="1"/>
  <c r="Z352" i="1"/>
  <c r="X352" i="1"/>
  <c r="E361" i="10"/>
  <c r="AS623" i="1"/>
  <c r="S623" i="1" s="1"/>
  <c r="AR623" i="1"/>
  <c r="R623" i="1" s="1"/>
  <c r="Z623" i="1"/>
  <c r="X623" i="1"/>
  <c r="E632" i="10"/>
  <c r="AS317" i="1"/>
  <c r="AR317" i="1"/>
  <c r="R317" i="1" s="1"/>
  <c r="Z317" i="1"/>
  <c r="X317" i="1"/>
  <c r="E326" i="10"/>
  <c r="AR297" i="1"/>
  <c r="Z297" i="1"/>
  <c r="X297" i="1"/>
  <c r="E306" i="10"/>
  <c r="AR275" i="1"/>
  <c r="Z275" i="1"/>
  <c r="E284" i="10"/>
  <c r="AS273" i="1"/>
  <c r="S273" i="1" s="1"/>
  <c r="AS582" i="1" s="1"/>
  <c r="S582" i="1" s="1"/>
  <c r="AR273" i="1"/>
  <c r="R273" i="1" s="1"/>
  <c r="Z273" i="1"/>
  <c r="X273" i="1"/>
  <c r="E282" i="10"/>
  <c r="AS526" i="1"/>
  <c r="AR526" i="1"/>
  <c r="Z526" i="1"/>
  <c r="X526" i="1"/>
  <c r="E535" i="10"/>
  <c r="AS524" i="1"/>
  <c r="AR524" i="1"/>
  <c r="Z524" i="1"/>
  <c r="X524" i="1"/>
  <c r="E533" i="10"/>
  <c r="AS225" i="1"/>
  <c r="AR225" i="1"/>
  <c r="R225" i="1" s="1"/>
  <c r="Z225" i="1"/>
  <c r="X225" i="1"/>
  <c r="E234" i="10"/>
  <c r="AS209" i="1"/>
  <c r="S209" i="1" s="1"/>
  <c r="AS481" i="1" s="1"/>
  <c r="S481" i="1" s="1"/>
  <c r="AR209" i="1"/>
  <c r="R209" i="1" s="1"/>
  <c r="AQ481" i="1" s="1"/>
  <c r="Z209" i="1"/>
  <c r="X209" i="1"/>
  <c r="E218" i="10"/>
  <c r="AS471" i="1"/>
  <c r="AR471" i="1"/>
  <c r="AQ471" i="1"/>
  <c r="Z471" i="1"/>
  <c r="X471" i="1"/>
  <c r="AS790" i="1"/>
  <c r="AR790" i="1"/>
  <c r="AQ790" i="1"/>
  <c r="Z790" i="1"/>
  <c r="X790" i="1"/>
  <c r="E480" i="10"/>
  <c r="E799" i="10"/>
  <c r="T790" i="1" s="1"/>
  <c r="AS470" i="1"/>
  <c r="AR470" i="1"/>
  <c r="AQ470" i="1"/>
  <c r="Z470" i="1"/>
  <c r="X470" i="1"/>
  <c r="AS469" i="1"/>
  <c r="AR469" i="1"/>
  <c r="AQ469" i="1"/>
  <c r="Z469" i="1"/>
  <c r="X469" i="1"/>
  <c r="AS468" i="1"/>
  <c r="AR468" i="1"/>
  <c r="Z468" i="1"/>
  <c r="X468" i="1"/>
  <c r="E479" i="10"/>
  <c r="T470" i="1" s="1"/>
  <c r="E478" i="10"/>
  <c r="T469" i="1" s="1"/>
  <c r="E477" i="10"/>
  <c r="AS785" i="1"/>
  <c r="AR785" i="1"/>
  <c r="R785" i="1" s="1"/>
  <c r="Z785" i="1"/>
  <c r="X785" i="1"/>
  <c r="E794" i="10"/>
  <c r="S472" i="1" s="1"/>
  <c r="T472" i="1" s="1"/>
  <c r="N472" i="1" s="1"/>
  <c r="AS768" i="1"/>
  <c r="AR768" i="1"/>
  <c r="R768" i="1" s="1"/>
  <c r="Z768" i="1"/>
  <c r="X768" i="1"/>
  <c r="AS767" i="1"/>
  <c r="AT767" i="1" s="1"/>
  <c r="AR767" i="1"/>
  <c r="R767" i="1" s="1"/>
  <c r="Z767" i="1"/>
  <c r="X767" i="1"/>
  <c r="E777" i="10"/>
  <c r="E776" i="10"/>
  <c r="AS761" i="1"/>
  <c r="S761" i="1" s="1"/>
  <c r="AR761" i="1"/>
  <c r="R761" i="1" s="1"/>
  <c r="Z761" i="1"/>
  <c r="X761" i="1"/>
  <c r="E770" i="10"/>
  <c r="AS692" i="1"/>
  <c r="S692" i="1" s="1"/>
  <c r="AR692" i="1"/>
  <c r="R692" i="1" s="1"/>
  <c r="Z692" i="1"/>
  <c r="X692" i="1"/>
  <c r="AS405" i="1"/>
  <c r="AR405" i="1"/>
  <c r="R405" i="1" s="1"/>
  <c r="Z405" i="1"/>
  <c r="X405" i="1"/>
  <c r="E701" i="10"/>
  <c r="E414" i="10"/>
  <c r="AS138" i="1"/>
  <c r="AR138" i="1"/>
  <c r="R138" i="1" s="1"/>
  <c r="AS371" i="1" s="1"/>
  <c r="Z138" i="1"/>
  <c r="X138" i="1"/>
  <c r="AS136" i="1"/>
  <c r="S136" i="1" s="1"/>
  <c r="AT136" i="1" s="1"/>
  <c r="AR136" i="1"/>
  <c r="AQ136" i="1"/>
  <c r="Z136" i="1"/>
  <c r="X136" i="1"/>
  <c r="E147" i="10"/>
  <c r="E145" i="10"/>
  <c r="AS345" i="1"/>
  <c r="AR345" i="1"/>
  <c r="Z345" i="1"/>
  <c r="X345" i="1"/>
  <c r="E354" i="10"/>
  <c r="T345" i="1" s="1"/>
  <c r="AS106" i="1"/>
  <c r="AR106" i="1"/>
  <c r="AQ106" i="1"/>
  <c r="Z106" i="1"/>
  <c r="X106" i="1"/>
  <c r="E115" i="10"/>
  <c r="T122" i="1" s="1"/>
  <c r="AS66" i="1"/>
  <c r="AR66" i="1"/>
  <c r="Z66" i="1"/>
  <c r="X66" i="1"/>
  <c r="E75" i="10"/>
  <c r="AS266" i="1"/>
  <c r="AR266" i="1"/>
  <c r="Z266" i="1"/>
  <c r="X266" i="1"/>
  <c r="AS254" i="1"/>
  <c r="AR254" i="1"/>
  <c r="Z254" i="1"/>
  <c r="X254" i="1"/>
  <c r="E263" i="10"/>
  <c r="T254" i="1" s="1"/>
  <c r="AS511" i="1"/>
  <c r="AR511" i="1"/>
  <c r="R511" i="1" s="1"/>
  <c r="Z511" i="1"/>
  <c r="X511" i="1"/>
  <c r="E520" i="10"/>
  <c r="AS216" i="1"/>
  <c r="AR216" i="1"/>
  <c r="Z216" i="1"/>
  <c r="X216" i="1"/>
  <c r="E69" i="10"/>
  <c r="AQ582" i="1" l="1"/>
  <c r="AT582" i="1"/>
  <c r="T582" i="1"/>
  <c r="P209" i="1"/>
  <c r="T481" i="1"/>
  <c r="AT481" i="1"/>
  <c r="AQ371" i="1"/>
  <c r="R633" i="1"/>
  <c r="AS256" i="1"/>
  <c r="AT256" i="1" s="1"/>
  <c r="S79" i="1"/>
  <c r="U472" i="1"/>
  <c r="V472" i="1"/>
  <c r="AP472" i="1"/>
  <c r="AT60" i="1"/>
  <c r="AT692" i="1"/>
  <c r="AT209" i="1"/>
  <c r="R136" i="1"/>
  <c r="AS288" i="1"/>
  <c r="AS593" i="1" s="1"/>
  <c r="S593" i="1" s="1"/>
  <c r="AR288" i="1"/>
  <c r="Z288" i="1"/>
  <c r="X288" i="1"/>
  <c r="E297" i="10"/>
  <c r="AU209" i="1" l="1"/>
  <c r="S303" i="1"/>
  <c r="AT303" i="1" s="1"/>
  <c r="T288" i="1"/>
  <c r="N582" i="1"/>
  <c r="V582" i="1" s="1"/>
  <c r="N481" i="1"/>
  <c r="AP481" i="1" s="1"/>
  <c r="AQ593" i="1"/>
  <c r="AQ370" i="1"/>
  <c r="AS370" i="1"/>
  <c r="AT79" i="1"/>
  <c r="AS291" i="1"/>
  <c r="S291" i="1" s="1"/>
  <c r="AS595" i="1" s="1"/>
  <c r="X10" i="1"/>
  <c r="E130" i="10"/>
  <c r="N303" i="1" l="1"/>
  <c r="AP303" i="1" s="1"/>
  <c r="AP582" i="1"/>
  <c r="U582" i="1"/>
  <c r="U481" i="1"/>
  <c r="V481" i="1"/>
  <c r="AT291" i="1"/>
  <c r="AT288" i="1"/>
  <c r="E29" i="10"/>
  <c r="E30" i="10"/>
  <c r="E31" i="10"/>
  <c r="E32" i="10"/>
  <c r="E33" i="10"/>
  <c r="E34" i="10"/>
  <c r="E37" i="10"/>
  <c r="E38" i="10"/>
  <c r="E40" i="10"/>
  <c r="E41" i="10"/>
  <c r="E42" i="10"/>
  <c r="E43" i="10"/>
  <c r="E44" i="10"/>
  <c r="E45" i="10"/>
  <c r="R36" i="1" s="1"/>
  <c r="E46" i="10"/>
  <c r="E47" i="10"/>
  <c r="E48" i="10"/>
  <c r="E49" i="10"/>
  <c r="E236" i="10"/>
  <c r="T227" i="1" s="1"/>
  <c r="E50" i="10"/>
  <c r="E51" i="10"/>
  <c r="E52" i="10"/>
  <c r="N43" i="1" s="1"/>
  <c r="AP43" i="1" s="1"/>
  <c r="E53" i="10"/>
  <c r="E54" i="10"/>
  <c r="E59" i="10"/>
  <c r="E60" i="10"/>
  <c r="R51" i="1" s="1"/>
  <c r="AQ235" i="1" s="1"/>
  <c r="E249" i="10"/>
  <c r="R240" i="1" s="1"/>
  <c r="E62" i="10"/>
  <c r="E63" i="10"/>
  <c r="E65" i="10"/>
  <c r="S75" i="1" s="1"/>
  <c r="E66" i="10"/>
  <c r="E68" i="10"/>
  <c r="E70" i="10"/>
  <c r="E71" i="10"/>
  <c r="E72" i="10"/>
  <c r="E73" i="10"/>
  <c r="E74" i="10"/>
  <c r="E76" i="10"/>
  <c r="E77" i="10"/>
  <c r="E79" i="10"/>
  <c r="R70" i="1" s="1"/>
  <c r="E80" i="10"/>
  <c r="E81" i="10"/>
  <c r="R72" i="1" s="1"/>
  <c r="E82" i="10"/>
  <c r="E83" i="10"/>
  <c r="E86" i="10"/>
  <c r="E89" i="10"/>
  <c r="T80" i="1" s="1"/>
  <c r="E90" i="10"/>
  <c r="S97" i="1" s="1"/>
  <c r="E91" i="10"/>
  <c r="E92" i="10"/>
  <c r="E93" i="10"/>
  <c r="E94" i="10"/>
  <c r="E95" i="10"/>
  <c r="E96" i="10"/>
  <c r="E97" i="10"/>
  <c r="E98" i="10"/>
  <c r="R89" i="1" s="1"/>
  <c r="E99" i="10"/>
  <c r="R106" i="1" s="1"/>
  <c r="AQ324" i="1" s="1"/>
  <c r="R324" i="1" s="1"/>
  <c r="E100" i="10"/>
  <c r="E101" i="10"/>
  <c r="E103" i="10"/>
  <c r="E105" i="10"/>
  <c r="E107" i="10"/>
  <c r="E108" i="10"/>
  <c r="E109" i="10"/>
  <c r="S100" i="1" s="1"/>
  <c r="E110" i="10"/>
  <c r="E111" i="10"/>
  <c r="E112" i="10"/>
  <c r="E113" i="10"/>
  <c r="E114" i="10"/>
  <c r="E116" i="10"/>
  <c r="E117" i="10"/>
  <c r="E119" i="10"/>
  <c r="E122" i="10"/>
  <c r="E123" i="10"/>
  <c r="S114" i="1" s="1"/>
  <c r="E126" i="10"/>
  <c r="E127" i="10"/>
  <c r="E128" i="10"/>
  <c r="E129" i="10"/>
  <c r="E132" i="10"/>
  <c r="E133" i="10"/>
  <c r="E134" i="10"/>
  <c r="E135" i="10"/>
  <c r="E137" i="10"/>
  <c r="E138" i="10"/>
  <c r="E141" i="10"/>
  <c r="E142" i="10"/>
  <c r="E143" i="10"/>
  <c r="E144" i="10"/>
  <c r="E146" i="10"/>
  <c r="E148" i="10"/>
  <c r="E406" i="10"/>
  <c r="E154" i="10"/>
  <c r="E155" i="10"/>
  <c r="E156" i="10"/>
  <c r="S147" i="1" s="1"/>
  <c r="E157" i="10"/>
  <c r="E158" i="10"/>
  <c r="E159" i="10"/>
  <c r="S150" i="1" s="1"/>
  <c r="E160" i="10"/>
  <c r="E162" i="10"/>
  <c r="S169" i="1" s="1"/>
  <c r="AT169" i="1" s="1"/>
  <c r="E164" i="10"/>
  <c r="S171" i="1" s="1"/>
  <c r="E165" i="10"/>
  <c r="E166" i="10"/>
  <c r="E167" i="10"/>
  <c r="E168" i="10"/>
  <c r="R175" i="1" s="1"/>
  <c r="N175" i="1" s="1"/>
  <c r="E169" i="10"/>
  <c r="S160" i="1" s="1"/>
  <c r="E170" i="10"/>
  <c r="E171" i="10"/>
  <c r="S178" i="1" s="1"/>
  <c r="AT178" i="1" s="1"/>
  <c r="E173" i="10"/>
  <c r="E174" i="10"/>
  <c r="E175" i="10"/>
  <c r="E176" i="10"/>
  <c r="E179" i="10"/>
  <c r="E181" i="10"/>
  <c r="E185" i="10"/>
  <c r="S176" i="1" s="1"/>
  <c r="E189" i="10"/>
  <c r="E190" i="10"/>
  <c r="R181" i="1" s="1"/>
  <c r="E191" i="10"/>
  <c r="R182" i="1" s="1"/>
  <c r="E192" i="10"/>
  <c r="E193" i="10"/>
  <c r="R184" i="1" s="1"/>
  <c r="E194" i="10"/>
  <c r="R185" i="1" s="1"/>
  <c r="E195" i="10"/>
  <c r="R186" i="1" s="1"/>
  <c r="E196" i="10"/>
  <c r="R187" i="1" s="1"/>
  <c r="E197" i="10"/>
  <c r="E198" i="10"/>
  <c r="E199" i="10"/>
  <c r="E200" i="10"/>
  <c r="E202" i="10"/>
  <c r="E203" i="10"/>
  <c r="E204" i="10"/>
  <c r="E205" i="10"/>
  <c r="E206" i="10"/>
  <c r="R197" i="1" s="1"/>
  <c r="E207" i="10"/>
  <c r="E208" i="10"/>
  <c r="E209" i="10"/>
  <c r="E210" i="10"/>
  <c r="E211" i="10"/>
  <c r="E28" i="10"/>
  <c r="E27" i="10"/>
  <c r="U303" i="1" l="1"/>
  <c r="V303" i="1"/>
  <c r="AS697" i="1"/>
  <c r="AS414" i="1"/>
  <c r="AT414" i="1" s="1"/>
  <c r="T324" i="1"/>
  <c r="AQ627" i="1"/>
  <c r="R183" i="1"/>
  <c r="S164" i="1"/>
  <c r="R85" i="1"/>
  <c r="AQ296" i="1" s="1"/>
  <c r="S165" i="1"/>
  <c r="R180" i="1"/>
  <c r="S166" i="1"/>
  <c r="R117" i="1"/>
  <c r="T209" i="1"/>
  <c r="N209" i="1" s="1"/>
  <c r="AP209" i="1" s="1"/>
  <c r="R39" i="1"/>
  <c r="T58" i="1"/>
  <c r="R49" i="1"/>
  <c r="N49" i="1" s="1"/>
  <c r="AP175" i="1"/>
  <c r="V175" i="1"/>
  <c r="U175" i="1"/>
  <c r="N97" i="1"/>
  <c r="AT97" i="1"/>
  <c r="S76" i="1"/>
  <c r="T76" i="1" s="1"/>
  <c r="R37" i="1"/>
  <c r="S158" i="1"/>
  <c r="S174" i="1"/>
  <c r="AT174" i="1" s="1"/>
  <c r="AS276" i="1"/>
  <c r="AT276" i="1" s="1"/>
  <c r="AT75" i="1"/>
  <c r="S142" i="1"/>
  <c r="AT142" i="1" s="1"/>
  <c r="S107" i="1"/>
  <c r="N41" i="1"/>
  <c r="AP41" i="1" s="1"/>
  <c r="T60" i="1"/>
  <c r="R189" i="1"/>
  <c r="AP205" i="1"/>
  <c r="AT171" i="1"/>
  <c r="AS444" i="1"/>
  <c r="N171" i="1"/>
  <c r="R188" i="1"/>
  <c r="AP204" i="1"/>
  <c r="N54" i="1"/>
  <c r="AP54" i="1" s="1"/>
  <c r="T178" i="1"/>
  <c r="N178" i="1" s="1"/>
  <c r="N33" i="1"/>
  <c r="N80" i="1"/>
  <c r="S124" i="1"/>
  <c r="AU556" i="1"/>
  <c r="N324" i="1" l="1"/>
  <c r="AP324" i="1" s="1"/>
  <c r="AP178" i="1"/>
  <c r="AP80" i="1"/>
  <c r="T142" i="1"/>
  <c r="N142" i="1" s="1"/>
  <c r="AP49" i="1"/>
  <c r="U49" i="1"/>
  <c r="V49" i="1"/>
  <c r="AP171" i="1"/>
  <c r="U171" i="1"/>
  <c r="V171" i="1"/>
  <c r="AT76" i="1"/>
  <c r="N76" i="1"/>
  <c r="AP97" i="1"/>
  <c r="U97" i="1"/>
  <c r="V97" i="1"/>
  <c r="V209" i="1"/>
  <c r="U209" i="1"/>
  <c r="V178" i="1"/>
  <c r="U178" i="1"/>
  <c r="T144" i="1"/>
  <c r="N144" i="1" s="1"/>
  <c r="T168" i="1"/>
  <c r="N168" i="1" s="1"/>
  <c r="U324" i="1" l="1"/>
  <c r="AP168" i="1"/>
  <c r="AP144" i="1"/>
  <c r="AP142" i="1"/>
  <c r="V142" i="1"/>
  <c r="U142" i="1"/>
  <c r="AP76" i="1"/>
  <c r="V76" i="1"/>
  <c r="U76" i="1"/>
  <c r="U144" i="1"/>
  <c r="V144" i="1"/>
  <c r="V168" i="1"/>
  <c r="U168" i="1"/>
  <c r="R648" i="1" l="1"/>
  <c r="R571" i="1"/>
  <c r="R570" i="1"/>
  <c r="AR760" i="1"/>
  <c r="AR754" i="1"/>
  <c r="AR750" i="1"/>
  <c r="AR749" i="1"/>
  <c r="AR436" i="1"/>
  <c r="AR435" i="1"/>
  <c r="AR434" i="1"/>
  <c r="AR433" i="1"/>
  <c r="AR746" i="1"/>
  <c r="AR432" i="1"/>
  <c r="AR743" i="1"/>
  <c r="AR430" i="1"/>
  <c r="AR721" i="1"/>
  <c r="AR426" i="1"/>
  <c r="AR719" i="1"/>
  <c r="AR717" i="1"/>
  <c r="AR112" i="1"/>
  <c r="AR280" i="1"/>
  <c r="AR278" i="1"/>
  <c r="AR541" i="1"/>
  <c r="AR533" i="1"/>
  <c r="AR519" i="1"/>
  <c r="AR575" i="1"/>
  <c r="AR573" i="1"/>
  <c r="AR237" i="1"/>
  <c r="AR527" i="1"/>
  <c r="AR525" i="1"/>
  <c r="AR523" i="1"/>
  <c r="AR515" i="1"/>
  <c r="AR509" i="1"/>
  <c r="AR167" i="1"/>
  <c r="AR165" i="1"/>
  <c r="AR164" i="1"/>
  <c r="AR160" i="1"/>
  <c r="AR159" i="1"/>
  <c r="AR157" i="1"/>
  <c r="AR156" i="1"/>
  <c r="AR155" i="1"/>
  <c r="AR133" i="1"/>
  <c r="AR128" i="1"/>
  <c r="AR123" i="1"/>
  <c r="AR113" i="1"/>
  <c r="AR87" i="1"/>
  <c r="AR74" i="1"/>
  <c r="AR73" i="1"/>
  <c r="AR72" i="1"/>
  <c r="AR68" i="1"/>
  <c r="AR67" i="1"/>
  <c r="AR54" i="1"/>
  <c r="AR53" i="1"/>
  <c r="AR43" i="1"/>
  <c r="AR41" i="1"/>
  <c r="AR227" i="1"/>
  <c r="AR40" i="1"/>
  <c r="AR39" i="1"/>
  <c r="AR38" i="1"/>
  <c r="AR37" i="1"/>
  <c r="AR36" i="1"/>
  <c r="AR35" i="1"/>
  <c r="AR31" i="1"/>
  <c r="AR30" i="1"/>
  <c r="AR29" i="1"/>
  <c r="AR28" i="1"/>
  <c r="R756" i="1"/>
  <c r="R741" i="1"/>
  <c r="R739" i="1"/>
  <c r="R738" i="1"/>
  <c r="R734" i="1"/>
  <c r="R733" i="1"/>
  <c r="R705" i="1"/>
  <c r="R704" i="1"/>
  <c r="AR131" i="1"/>
  <c r="R641" i="1"/>
  <c r="R627" i="1"/>
  <c r="R622" i="1"/>
  <c r="R536" i="1"/>
  <c r="AR192" i="1"/>
  <c r="AR464" i="1"/>
  <c r="AR179" i="1"/>
  <c r="AR457" i="1"/>
  <c r="AR456" i="1"/>
  <c r="AR177" i="1"/>
  <c r="AR770" i="1"/>
  <c r="AR447" i="1"/>
  <c r="AR773" i="1"/>
  <c r="AR772" i="1"/>
  <c r="AR446" i="1"/>
  <c r="AR771" i="1"/>
  <c r="AR445" i="1"/>
  <c r="AR769" i="1"/>
  <c r="AR766" i="1"/>
  <c r="AR765" i="1"/>
  <c r="AR764" i="1"/>
  <c r="R764" i="1" s="1"/>
  <c r="AR763" i="1"/>
  <c r="R763" i="1" s="1"/>
  <c r="AR762" i="1"/>
  <c r="R762" i="1" s="1"/>
  <c r="AR444" i="1"/>
  <c r="AR443" i="1"/>
  <c r="AR442" i="1"/>
  <c r="R442" i="1" s="1"/>
  <c r="AQ758" i="1" s="1"/>
  <c r="AR441" i="1"/>
  <c r="R441" i="1" s="1"/>
  <c r="AR440" i="1"/>
  <c r="AR439" i="1"/>
  <c r="AR437" i="1"/>
  <c r="AR431" i="1"/>
  <c r="AR744" i="1"/>
  <c r="AR740" i="1"/>
  <c r="AR429" i="1"/>
  <c r="R429" i="1" s="1"/>
  <c r="AR428" i="1"/>
  <c r="AR735" i="1"/>
  <c r="AR690" i="1"/>
  <c r="AR689" i="1"/>
  <c r="AR401" i="1"/>
  <c r="AR400" i="1"/>
  <c r="AR399" i="1"/>
  <c r="AR687" i="1"/>
  <c r="AR686" i="1"/>
  <c r="AR685" i="1"/>
  <c r="AR398" i="1"/>
  <c r="AR684" i="1"/>
  <c r="AR396" i="1"/>
  <c r="AR395" i="1"/>
  <c r="AR683" i="1"/>
  <c r="AR682" i="1"/>
  <c r="AR681" i="1"/>
  <c r="AR392" i="1"/>
  <c r="AR391" i="1"/>
  <c r="AR390" i="1"/>
  <c r="AR389" i="1"/>
  <c r="AR388" i="1"/>
  <c r="AR387" i="1"/>
  <c r="AR385" i="1"/>
  <c r="AR386" i="1"/>
  <c r="AR383" i="1"/>
  <c r="AR382" i="1"/>
  <c r="AR381" i="1"/>
  <c r="AR362" i="1"/>
  <c r="AR130" i="1"/>
  <c r="AR361" i="1"/>
  <c r="AR651" i="1"/>
  <c r="AR650" i="1"/>
  <c r="AR359" i="1"/>
  <c r="AQ647" i="1" s="1"/>
  <c r="AR357" i="1"/>
  <c r="AR356" i="1"/>
  <c r="AR354" i="1"/>
  <c r="R354" i="1" s="1"/>
  <c r="AR643" i="1"/>
  <c r="AR347" i="1"/>
  <c r="AR346" i="1"/>
  <c r="AR344" i="1"/>
  <c r="AR343" i="1"/>
  <c r="AR341" i="1"/>
  <c r="AR340" i="1"/>
  <c r="AR116" i="1"/>
  <c r="AR115" i="1"/>
  <c r="AR339" i="1"/>
  <c r="AR336" i="1"/>
  <c r="AR335" i="1"/>
  <c r="AR109" i="1"/>
  <c r="AR334" i="1"/>
  <c r="AR333" i="1"/>
  <c r="AR332" i="1"/>
  <c r="AR331" i="1"/>
  <c r="AR330" i="1"/>
  <c r="AR329" i="1"/>
  <c r="AR328" i="1"/>
  <c r="AR325" i="1"/>
  <c r="AR323" i="1"/>
  <c r="AR320" i="1"/>
  <c r="AR321" i="1"/>
  <c r="AR314" i="1"/>
  <c r="AR313" i="1"/>
  <c r="AR312" i="1"/>
  <c r="AR311" i="1"/>
  <c r="AR308" i="1"/>
  <c r="AR307" i="1"/>
  <c r="AR95" i="1"/>
  <c r="AR298" i="1"/>
  <c r="AR295" i="1"/>
  <c r="AR294" i="1"/>
  <c r="AR291" i="1"/>
  <c r="R291" i="1" s="1"/>
  <c r="AQ595" i="1" s="1"/>
  <c r="AR290" i="1"/>
  <c r="AR285" i="1"/>
  <c r="R285" i="1" s="1"/>
  <c r="AR283" i="1"/>
  <c r="AR282" i="1"/>
  <c r="AR281" i="1"/>
  <c r="AR78" i="1"/>
  <c r="AR269" i="1"/>
  <c r="AR69" i="1"/>
  <c r="AR257" i="1"/>
  <c r="AR255" i="1"/>
  <c r="AR55" i="1"/>
  <c r="AR253" i="1"/>
  <c r="AR252" i="1"/>
  <c r="AR552" i="1"/>
  <c r="AR551" i="1"/>
  <c r="AR27" i="1"/>
  <c r="AR250" i="1"/>
  <c r="R250" i="1" s="1"/>
  <c r="AR249" i="1"/>
  <c r="AR247" i="1"/>
  <c r="AR244" i="1"/>
  <c r="AR242" i="1"/>
  <c r="AR241" i="1"/>
  <c r="AR239" i="1"/>
  <c r="R239" i="1" s="1"/>
  <c r="AR547" i="1"/>
  <c r="AR546" i="1"/>
  <c r="AR545" i="1"/>
  <c r="AR514" i="1"/>
  <c r="AR500" i="1"/>
  <c r="AR502" i="1"/>
  <c r="AR498" i="1"/>
  <c r="AR218" i="1"/>
  <c r="AR487" i="1"/>
  <c r="AR212" i="1"/>
  <c r="R212" i="1" s="1"/>
  <c r="AR211" i="1"/>
  <c r="R211" i="1" s="1"/>
  <c r="AR210" i="1"/>
  <c r="R210" i="1" s="1"/>
  <c r="AQ486" i="1" s="1"/>
  <c r="AR485" i="1"/>
  <c r="AR202" i="1"/>
  <c r="AR201" i="1"/>
  <c r="AR200" i="1"/>
  <c r="AR199" i="1"/>
  <c r="AR198" i="1"/>
  <c r="AR197" i="1"/>
  <c r="AR196" i="1"/>
  <c r="AR195" i="1"/>
  <c r="AR194" i="1"/>
  <c r="AR193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6" i="1"/>
  <c r="AR172" i="1"/>
  <c r="AR170" i="1"/>
  <c r="AR166" i="1"/>
  <c r="AR162" i="1"/>
  <c r="AR161" i="1"/>
  <c r="AR158" i="1"/>
  <c r="AR153" i="1"/>
  <c r="AR152" i="1"/>
  <c r="AR151" i="1"/>
  <c r="AR150" i="1"/>
  <c r="AR149" i="1"/>
  <c r="AR148" i="1"/>
  <c r="AR147" i="1"/>
  <c r="AR146" i="1"/>
  <c r="AR145" i="1"/>
  <c r="AR397" i="1"/>
  <c r="AR139" i="1"/>
  <c r="AR137" i="1"/>
  <c r="AR135" i="1"/>
  <c r="AR134" i="1"/>
  <c r="AR132" i="1"/>
  <c r="AR129" i="1"/>
  <c r="AR126" i="1"/>
  <c r="AR125" i="1"/>
  <c r="AR124" i="1"/>
  <c r="AR121" i="1"/>
  <c r="AR120" i="1"/>
  <c r="AR119" i="1"/>
  <c r="AR118" i="1"/>
  <c r="AR117" i="1"/>
  <c r="AR114" i="1"/>
  <c r="AR110" i="1"/>
  <c r="AR108" i="1"/>
  <c r="R108" i="1" s="1"/>
  <c r="S108" i="1" s="1"/>
  <c r="AR107" i="1"/>
  <c r="AR105" i="1"/>
  <c r="R105" i="1" s="1"/>
  <c r="AR104" i="1"/>
  <c r="AR103" i="1"/>
  <c r="AR102" i="1"/>
  <c r="AR101" i="1"/>
  <c r="AR100" i="1"/>
  <c r="AR99" i="1"/>
  <c r="AR98" i="1"/>
  <c r="AR96" i="1"/>
  <c r="AR94" i="1"/>
  <c r="AR93" i="1"/>
  <c r="AR92" i="1"/>
  <c r="AR91" i="1"/>
  <c r="AR90" i="1"/>
  <c r="AR89" i="1"/>
  <c r="AR88" i="1"/>
  <c r="AR86" i="1"/>
  <c r="AR85" i="1"/>
  <c r="AR84" i="1"/>
  <c r="AR83" i="1"/>
  <c r="AR82" i="1"/>
  <c r="AR81" i="1"/>
  <c r="AR80" i="1"/>
  <c r="AR77" i="1"/>
  <c r="AR71" i="1"/>
  <c r="AR70" i="1"/>
  <c r="AR65" i="1"/>
  <c r="AR64" i="1"/>
  <c r="AR63" i="1"/>
  <c r="AR62" i="1"/>
  <c r="R62" i="1" s="1"/>
  <c r="AR61" i="1"/>
  <c r="AR59" i="1"/>
  <c r="AR57" i="1"/>
  <c r="AR56" i="1"/>
  <c r="AR240" i="1"/>
  <c r="AR51" i="1"/>
  <c r="AR50" i="1"/>
  <c r="AR48" i="1"/>
  <c r="AR47" i="1"/>
  <c r="AR46" i="1"/>
  <c r="R46" i="1" s="1"/>
  <c r="AR45" i="1"/>
  <c r="AR44" i="1"/>
  <c r="AR42" i="1"/>
  <c r="AR34" i="1"/>
  <c r="R34" i="1" s="1"/>
  <c r="AQ517" i="1" s="1"/>
  <c r="AR33" i="1"/>
  <c r="AR32" i="1"/>
  <c r="R32" i="1" s="1"/>
  <c r="AQ220" i="1" s="1"/>
  <c r="AR25" i="1"/>
  <c r="AR24" i="1"/>
  <c r="AR23" i="1"/>
  <c r="AR22" i="1"/>
  <c r="AR21" i="1"/>
  <c r="AR20" i="1"/>
  <c r="AR19" i="1"/>
  <c r="AR18" i="1"/>
  <c r="R783" i="1"/>
  <c r="R781" i="1"/>
  <c r="R779" i="1"/>
  <c r="AR465" i="1"/>
  <c r="AR463" i="1"/>
  <c r="AR462" i="1"/>
  <c r="AR461" i="1"/>
  <c r="AR460" i="1"/>
  <c r="AR459" i="1"/>
  <c r="AR458" i="1"/>
  <c r="AQ226" i="1" l="1"/>
  <c r="AS226" i="1"/>
  <c r="S225" i="1"/>
  <c r="N225" i="1" s="1"/>
  <c r="T180" i="1"/>
  <c r="AS150" i="1"/>
  <c r="AT150" i="1" s="1"/>
  <c r="AQ148" i="1"/>
  <c r="AQ149" i="1"/>
  <c r="AS392" i="1"/>
  <c r="AQ392" i="1"/>
  <c r="AS391" i="1"/>
  <c r="AQ391" i="1"/>
  <c r="AS390" i="1"/>
  <c r="AQ390" i="1"/>
  <c r="AS389" i="1"/>
  <c r="AQ389" i="1"/>
  <c r="AS388" i="1"/>
  <c r="AQ388" i="1"/>
  <c r="AQ139" i="1"/>
  <c r="AQ362" i="1"/>
  <c r="AS133" i="1"/>
  <c r="AQ133" i="1"/>
  <c r="AS132" i="1"/>
  <c r="AS128" i="1"/>
  <c r="AQ128" i="1"/>
  <c r="AS346" i="1"/>
  <c r="AQ346" i="1"/>
  <c r="AS88" i="1"/>
  <c r="AQ88" i="1"/>
  <c r="AS281" i="1"/>
  <c r="AQ281" i="1"/>
  <c r="AS74" i="1"/>
  <c r="AQ74" i="1"/>
  <c r="R74" i="1" s="1"/>
  <c r="AQ64" i="1"/>
  <c r="AS64" i="1"/>
  <c r="AT64" i="1" s="1"/>
  <c r="AS547" i="1"/>
  <c r="AQ547" i="1"/>
  <c r="S550" i="1"/>
  <c r="AS541" i="1"/>
  <c r="AQ541" i="1"/>
  <c r="AS42" i="1"/>
  <c r="AQ42" i="1"/>
  <c r="T37" i="1" l="1"/>
  <c r="AP225" i="1"/>
  <c r="V225" i="1"/>
  <c r="AT225" i="1"/>
  <c r="AT550" i="1"/>
  <c r="U225" i="1"/>
  <c r="N180" i="1"/>
  <c r="S537" i="1"/>
  <c r="AS533" i="1"/>
  <c r="AQ533" i="1"/>
  <c r="AP180" i="1" l="1"/>
  <c r="AT537" i="1"/>
  <c r="AQ514" i="1" l="1"/>
  <c r="AS30" i="1"/>
  <c r="AQ31" i="1"/>
  <c r="AS502" i="1"/>
  <c r="AQ28" i="1"/>
  <c r="AQ197" i="1"/>
  <c r="AS197" i="1"/>
  <c r="AT197" i="1" s="1"/>
  <c r="AS196" i="1"/>
  <c r="AQ196" i="1"/>
  <c r="AS194" i="1"/>
  <c r="AQ194" i="1"/>
  <c r="AS177" i="1"/>
  <c r="AT177" i="1" s="1"/>
  <c r="AQ177" i="1"/>
  <c r="AS447" i="1"/>
  <c r="AQ447" i="1"/>
  <c r="AS770" i="1"/>
  <c r="AQ770" i="1"/>
  <c r="AS167" i="1"/>
  <c r="AQ167" i="1"/>
  <c r="AS434" i="1"/>
  <c r="AS164" i="1"/>
  <c r="AT164" i="1" s="1"/>
  <c r="AQ164" i="1"/>
  <c r="AS397" i="1"/>
  <c r="AQ397" i="1"/>
  <c r="AQ130" i="1"/>
  <c r="AS130" i="1"/>
  <c r="AS650" i="1"/>
  <c r="AQ650" i="1"/>
  <c r="AQ333" i="1"/>
  <c r="AQ332" i="1"/>
  <c r="AQ334" i="1"/>
  <c r="AS313" i="1"/>
  <c r="AQ313" i="1"/>
  <c r="AQ314" i="1"/>
  <c r="AQ312" i="1"/>
  <c r="AQ99" i="1"/>
  <c r="AS308" i="1" l="1"/>
  <c r="AQ308" i="1"/>
  <c r="AS95" i="1"/>
  <c r="AT95" i="1" s="1"/>
  <c r="AQ95" i="1"/>
  <c r="AS509" i="1" l="1"/>
  <c r="AS31" i="1"/>
  <c r="AT31" i="1" s="1"/>
  <c r="AQ86" i="1" l="1"/>
  <c r="AS85" i="1"/>
  <c r="AT85" i="1" s="1"/>
  <c r="AQ85" i="1"/>
  <c r="AQ294" i="1"/>
  <c r="AS282" i="1"/>
  <c r="AQ282" i="1"/>
  <c r="AQ78" i="1"/>
  <c r="AQ519" i="1"/>
  <c r="AS28" i="1"/>
  <c r="AS27" i="1"/>
  <c r="AQ27" i="1"/>
  <c r="AS527" i="1" l="1"/>
  <c r="AQ527" i="1"/>
  <c r="AS523" i="1"/>
  <c r="AQ502" i="1"/>
  <c r="AQ199" i="1"/>
  <c r="AS199" i="1"/>
  <c r="AQ193" i="1"/>
  <c r="AS769" i="1"/>
  <c r="AQ769" i="1"/>
  <c r="AS765" i="1"/>
  <c r="AQ766" i="1"/>
  <c r="AQ765" i="1"/>
  <c r="AS766" i="1"/>
  <c r="S757" i="1"/>
  <c r="AS165" i="1"/>
  <c r="AT165" i="1" s="1"/>
  <c r="AQ165" i="1"/>
  <c r="AS159" i="1"/>
  <c r="AT159" i="1" s="1"/>
  <c r="S712" i="1"/>
  <c r="AS153" i="1"/>
  <c r="AS435" i="1" s="1"/>
  <c r="AQ153" i="1"/>
  <c r="AS146" i="1"/>
  <c r="AS139" i="1"/>
  <c r="AQ132" i="1"/>
  <c r="R132" i="1" s="1"/>
  <c r="AS643" i="1"/>
  <c r="AQ643" i="1"/>
  <c r="AS105" i="1"/>
  <c r="AS104" i="1"/>
  <c r="AS99" i="1"/>
  <c r="AS98" i="1"/>
  <c r="AS96" i="1"/>
  <c r="AS93" i="1"/>
  <c r="AQ93" i="1"/>
  <c r="AS81" i="1"/>
  <c r="AS80" i="1"/>
  <c r="AT80" i="1" s="1"/>
  <c r="AS73" i="1"/>
  <c r="AS72" i="1"/>
  <c r="AS63" i="1"/>
  <c r="AS575" i="1"/>
  <c r="S575" i="1" s="1"/>
  <c r="AS546" i="1"/>
  <c r="AQ364" i="1" l="1"/>
  <c r="R364" i="1" s="1"/>
  <c r="AT712" i="1"/>
  <c r="AT757" i="1"/>
  <c r="R57" i="1"/>
  <c r="AQ654" i="1" l="1"/>
  <c r="S77" i="1"/>
  <c r="S304" i="1" l="1"/>
  <c r="S305" i="1"/>
  <c r="AT304" i="1" l="1"/>
  <c r="AT305" i="1"/>
  <c r="S106" i="1"/>
  <c r="AS465" i="1"/>
  <c r="S465" i="1" s="1"/>
  <c r="AS784" i="1" s="1"/>
  <c r="R465" i="1"/>
  <c r="AS463" i="1"/>
  <c r="S463" i="1" s="1"/>
  <c r="AS782" i="1" s="1"/>
  <c r="R463" i="1"/>
  <c r="AS462" i="1"/>
  <c r="S462" i="1" s="1"/>
  <c r="AS783" i="1" s="1"/>
  <c r="R462" i="1"/>
  <c r="AS461" i="1"/>
  <c r="S461" i="1" s="1"/>
  <c r="AS781" i="1" s="1"/>
  <c r="R461" i="1"/>
  <c r="AS460" i="1"/>
  <c r="S460" i="1" s="1"/>
  <c r="AS780" i="1" s="1"/>
  <c r="R460" i="1"/>
  <c r="AS459" i="1"/>
  <c r="S459" i="1" s="1"/>
  <c r="R459" i="1"/>
  <c r="AS458" i="1"/>
  <c r="S458" i="1" s="1"/>
  <c r="AS779" i="1" s="1"/>
  <c r="R458" i="1"/>
  <c r="R753" i="1"/>
  <c r="R751" i="1"/>
  <c r="R748" i="1"/>
  <c r="R747" i="1"/>
  <c r="S745" i="1"/>
  <c r="R745" i="1"/>
  <c r="S730" i="1"/>
  <c r="R730" i="1"/>
  <c r="R726" i="1"/>
  <c r="R718" i="1"/>
  <c r="R714" i="1"/>
  <c r="AT636" i="1"/>
  <c r="R319" i="1"/>
  <c r="AT620" i="1"/>
  <c r="R607" i="1"/>
  <c r="R606" i="1"/>
  <c r="R605" i="1"/>
  <c r="R598" i="1"/>
  <c r="R264" i="1"/>
  <c r="R578" i="1"/>
  <c r="R263" i="1"/>
  <c r="AT576" i="1"/>
  <c r="AT574" i="1"/>
  <c r="R572" i="1"/>
  <c r="R246" i="1"/>
  <c r="S245" i="1"/>
  <c r="R245" i="1"/>
  <c r="S243" i="1"/>
  <c r="R243" i="1"/>
  <c r="R236" i="1"/>
  <c r="R233" i="1"/>
  <c r="R553" i="1"/>
  <c r="R535" i="1"/>
  <c r="R230" i="1"/>
  <c r="AT532" i="1"/>
  <c r="R530" i="1"/>
  <c r="R529" i="1"/>
  <c r="AT522" i="1"/>
  <c r="AT521" i="1"/>
  <c r="R224" i="1"/>
  <c r="R223" i="1"/>
  <c r="R518" i="1"/>
  <c r="R516" i="1"/>
  <c r="R508" i="1"/>
  <c r="R219" i="1"/>
  <c r="R480" i="1"/>
  <c r="R478" i="1"/>
  <c r="AS760" i="1"/>
  <c r="S760" i="1" s="1"/>
  <c r="R760" i="1"/>
  <c r="R754" i="1"/>
  <c r="AS750" i="1"/>
  <c r="R750" i="1"/>
  <c r="AS749" i="1"/>
  <c r="R749" i="1"/>
  <c r="AS436" i="1"/>
  <c r="S436" i="1" s="1"/>
  <c r="R436" i="1"/>
  <c r="S435" i="1"/>
  <c r="AS746" i="1"/>
  <c r="R746" i="1"/>
  <c r="AS743" i="1"/>
  <c r="S743" i="1" s="1"/>
  <c r="R743" i="1"/>
  <c r="AS430" i="1"/>
  <c r="AS721" i="1"/>
  <c r="R721" i="1"/>
  <c r="R426" i="1"/>
  <c r="AS719" i="1"/>
  <c r="R719" i="1"/>
  <c r="AS717" i="1"/>
  <c r="S717" i="1" s="1"/>
  <c r="R717" i="1"/>
  <c r="AS112" i="1"/>
  <c r="R112" i="1"/>
  <c r="AS280" i="1"/>
  <c r="AS278" i="1"/>
  <c r="R541" i="1"/>
  <c r="S533" i="1"/>
  <c r="R533" i="1"/>
  <c r="AS519" i="1"/>
  <c r="R519" i="1"/>
  <c r="R575" i="1"/>
  <c r="AS573" i="1"/>
  <c r="R573" i="1"/>
  <c r="AS237" i="1"/>
  <c r="R237" i="1"/>
  <c r="R527" i="1"/>
  <c r="AS515" i="1"/>
  <c r="R515" i="1"/>
  <c r="AS160" i="1"/>
  <c r="AT160" i="1" s="1"/>
  <c r="AS157" i="1"/>
  <c r="R157" i="1"/>
  <c r="AS156" i="1"/>
  <c r="R156" i="1"/>
  <c r="AS155" i="1"/>
  <c r="R155" i="1"/>
  <c r="AS123" i="1"/>
  <c r="R123" i="1"/>
  <c r="AS113" i="1"/>
  <c r="AS87" i="1"/>
  <c r="R87" i="1"/>
  <c r="AS68" i="1"/>
  <c r="R68" i="1"/>
  <c r="AS67" i="1"/>
  <c r="R67" i="1"/>
  <c r="AS53" i="1"/>
  <c r="AT53" i="1" s="1"/>
  <c r="AS227" i="1"/>
  <c r="AS40" i="1"/>
  <c r="AS39" i="1"/>
  <c r="AT39" i="1" s="1"/>
  <c r="AS38" i="1"/>
  <c r="AT38" i="1" s="1"/>
  <c r="AS37" i="1"/>
  <c r="AS36" i="1"/>
  <c r="AT36" i="1" s="1"/>
  <c r="AS35" i="1"/>
  <c r="AT35" i="1" s="1"/>
  <c r="S777" i="1"/>
  <c r="S776" i="1"/>
  <c r="S775" i="1"/>
  <c r="S774" i="1"/>
  <c r="S711" i="1"/>
  <c r="S710" i="1"/>
  <c r="S708" i="1"/>
  <c r="S412" i="1"/>
  <c r="S409" i="1"/>
  <c r="S702" i="1"/>
  <c r="S700" i="1"/>
  <c r="S699" i="1"/>
  <c r="S698" i="1"/>
  <c r="S696" i="1"/>
  <c r="S667" i="1"/>
  <c r="S660" i="1"/>
  <c r="S363" i="1"/>
  <c r="S368" i="1"/>
  <c r="S649" i="1"/>
  <c r="S646" i="1"/>
  <c r="S642" i="1"/>
  <c r="S641" i="1"/>
  <c r="S638" i="1"/>
  <c r="S629" i="1"/>
  <c r="S627" i="1"/>
  <c r="S619" i="1"/>
  <c r="S618" i="1"/>
  <c r="S617" i="1"/>
  <c r="S299" i="1"/>
  <c r="S293" i="1"/>
  <c r="S292" i="1"/>
  <c r="S594" i="1"/>
  <c r="S592" i="1"/>
  <c r="S591" i="1"/>
  <c r="S589" i="1"/>
  <c r="S286" i="1"/>
  <c r="S586" i="1"/>
  <c r="AT583" i="1"/>
  <c r="S277" i="1"/>
  <c r="S272" i="1"/>
  <c r="S579" i="1"/>
  <c r="S567" i="1"/>
  <c r="S561" i="1"/>
  <c r="S556" i="1"/>
  <c r="S555" i="1"/>
  <c r="S554" i="1"/>
  <c r="S542" i="1"/>
  <c r="S520" i="1"/>
  <c r="AT490" i="1"/>
  <c r="S483" i="1"/>
  <c r="S482" i="1"/>
  <c r="AS192" i="1"/>
  <c r="AS464" i="1"/>
  <c r="S464" i="1" s="1"/>
  <c r="AS179" i="1"/>
  <c r="AS457" i="1"/>
  <c r="AS456" i="1"/>
  <c r="S456" i="1" s="1"/>
  <c r="AS778" i="1" s="1"/>
  <c r="S778" i="1" s="1"/>
  <c r="S447" i="1"/>
  <c r="AS773" i="1"/>
  <c r="AS772" i="1"/>
  <c r="S772" i="1" s="1"/>
  <c r="AS446" i="1"/>
  <c r="S446" i="1" s="1"/>
  <c r="AS771" i="1"/>
  <c r="AS445" i="1"/>
  <c r="S445" i="1" s="1"/>
  <c r="S769" i="1"/>
  <c r="S766" i="1"/>
  <c r="S765" i="1"/>
  <c r="S444" i="1"/>
  <c r="AS443" i="1"/>
  <c r="S443" i="1" s="1"/>
  <c r="AS440" i="1"/>
  <c r="AS439" i="1"/>
  <c r="AS437" i="1"/>
  <c r="AS744" i="1"/>
  <c r="AS740" i="1"/>
  <c r="AS429" i="1"/>
  <c r="AS428" i="1"/>
  <c r="S428" i="1" s="1"/>
  <c r="AS736" i="1" s="1"/>
  <c r="S736" i="1" s="1"/>
  <c r="AS735" i="1"/>
  <c r="S735" i="1" s="1"/>
  <c r="AS690" i="1"/>
  <c r="AS689" i="1"/>
  <c r="AS400" i="1"/>
  <c r="AS399" i="1"/>
  <c r="S399" i="1" s="1"/>
  <c r="AS688" i="1" s="1"/>
  <c r="S688" i="1" s="1"/>
  <c r="AS687" i="1"/>
  <c r="AS686" i="1"/>
  <c r="AS685" i="1"/>
  <c r="S685" i="1" s="1"/>
  <c r="AS398" i="1"/>
  <c r="AS684" i="1"/>
  <c r="AS396" i="1"/>
  <c r="AS395" i="1"/>
  <c r="AS683" i="1"/>
  <c r="AS682" i="1"/>
  <c r="AS681" i="1"/>
  <c r="AS385" i="1"/>
  <c r="AS386" i="1"/>
  <c r="AS383" i="1"/>
  <c r="S383" i="1" s="1"/>
  <c r="AS382" i="1"/>
  <c r="S382" i="1" s="1"/>
  <c r="AS381" i="1"/>
  <c r="AS362" i="1"/>
  <c r="AS653" i="1" s="1"/>
  <c r="S653" i="1" s="1"/>
  <c r="AS361" i="1"/>
  <c r="AS651" i="1"/>
  <c r="AS357" i="1"/>
  <c r="AS356" i="1"/>
  <c r="S356" i="1" s="1"/>
  <c r="AS644" i="1" s="1"/>
  <c r="S644" i="1" s="1"/>
  <c r="AS354" i="1"/>
  <c r="AS347" i="1"/>
  <c r="S347" i="1" s="1"/>
  <c r="AS344" i="1"/>
  <c r="AS343" i="1"/>
  <c r="AS341" i="1"/>
  <c r="S341" i="1" s="1"/>
  <c r="AS340" i="1"/>
  <c r="AS116" i="1"/>
  <c r="AS115" i="1"/>
  <c r="AS335" i="1"/>
  <c r="AS109" i="1"/>
  <c r="AS334" i="1"/>
  <c r="S334" i="1" s="1"/>
  <c r="AS333" i="1"/>
  <c r="S333" i="1" s="1"/>
  <c r="AS332" i="1"/>
  <c r="S332" i="1" s="1"/>
  <c r="AS331" i="1"/>
  <c r="AS330" i="1"/>
  <c r="AS329" i="1"/>
  <c r="AS328" i="1"/>
  <c r="AS323" i="1"/>
  <c r="S323" i="1" s="1"/>
  <c r="AS624" i="1" s="1"/>
  <c r="S624" i="1" s="1"/>
  <c r="AS321" i="1"/>
  <c r="AT321" i="1" s="1"/>
  <c r="AS314" i="1"/>
  <c r="AS312" i="1"/>
  <c r="AS311" i="1"/>
  <c r="S311" i="1" s="1"/>
  <c r="AS611" i="1" s="1"/>
  <c r="S611" i="1" s="1"/>
  <c r="AS307" i="1"/>
  <c r="S307" i="1" s="1"/>
  <c r="AS298" i="1"/>
  <c r="AS294" i="1"/>
  <c r="AS290" i="1"/>
  <c r="AS285" i="1"/>
  <c r="AS283" i="1"/>
  <c r="AS78" i="1"/>
  <c r="AS69" i="1"/>
  <c r="AS55" i="1"/>
  <c r="S55" i="1" s="1"/>
  <c r="AT55" i="1" s="1"/>
  <c r="AS253" i="1"/>
  <c r="AS252" i="1"/>
  <c r="AS552" i="1"/>
  <c r="AS551" i="1"/>
  <c r="AS249" i="1"/>
  <c r="S249" i="1" s="1"/>
  <c r="AS247" i="1"/>
  <c r="AS244" i="1"/>
  <c r="AS242" i="1"/>
  <c r="AS241" i="1"/>
  <c r="AS239" i="1"/>
  <c r="S239" i="1" s="1"/>
  <c r="AS514" i="1"/>
  <c r="AS500" i="1"/>
  <c r="AS498" i="1"/>
  <c r="S496" i="1"/>
  <c r="S495" i="1"/>
  <c r="S494" i="1"/>
  <c r="AS218" i="1"/>
  <c r="S218" i="1" s="1"/>
  <c r="AS493" i="1" s="1"/>
  <c r="S493" i="1" s="1"/>
  <c r="S217" i="1"/>
  <c r="AS492" i="1" s="1"/>
  <c r="S492" i="1" s="1"/>
  <c r="AS487" i="1"/>
  <c r="AS485" i="1"/>
  <c r="S485" i="1" s="1"/>
  <c r="AS202" i="1"/>
  <c r="AS201" i="1"/>
  <c r="S201" i="1" s="1"/>
  <c r="AT201" i="1" s="1"/>
  <c r="AS200" i="1"/>
  <c r="AS198" i="1"/>
  <c r="AS195" i="1"/>
  <c r="AS193" i="1"/>
  <c r="AS191" i="1"/>
  <c r="AS190" i="1"/>
  <c r="AS176" i="1"/>
  <c r="AT176" i="1" s="1"/>
  <c r="AS172" i="1"/>
  <c r="AT172" i="1" s="1"/>
  <c r="AS170" i="1"/>
  <c r="AS166" i="1"/>
  <c r="AS162" i="1"/>
  <c r="AT162" i="1" s="1"/>
  <c r="AS161" i="1"/>
  <c r="AS158" i="1"/>
  <c r="AT158" i="1" s="1"/>
  <c r="AS152" i="1"/>
  <c r="AS151" i="1"/>
  <c r="AS149" i="1"/>
  <c r="AT149" i="1" s="1"/>
  <c r="AS148" i="1"/>
  <c r="AT148" i="1" s="1"/>
  <c r="AS145" i="1"/>
  <c r="AT145" i="1" s="1"/>
  <c r="AS137" i="1"/>
  <c r="AS135" i="1"/>
  <c r="AS134" i="1"/>
  <c r="AS129" i="1"/>
  <c r="AS126" i="1"/>
  <c r="AT126" i="1" s="1"/>
  <c r="AS125" i="1"/>
  <c r="AS124" i="1"/>
  <c r="AT124" i="1" s="1"/>
  <c r="AS121" i="1"/>
  <c r="S121" i="1" s="1"/>
  <c r="AT121" i="1" s="1"/>
  <c r="AS120" i="1"/>
  <c r="AS119" i="1"/>
  <c r="AS118" i="1"/>
  <c r="AS117" i="1"/>
  <c r="AS114" i="1"/>
  <c r="AS110" i="1"/>
  <c r="AT110" i="1" s="1"/>
  <c r="AS108" i="1"/>
  <c r="AT108" i="1" s="1"/>
  <c r="AS107" i="1"/>
  <c r="AS103" i="1"/>
  <c r="AS102" i="1"/>
  <c r="AS101" i="1"/>
  <c r="AS100" i="1"/>
  <c r="AS94" i="1"/>
  <c r="AS92" i="1"/>
  <c r="AS91" i="1"/>
  <c r="AS90" i="1"/>
  <c r="AS89" i="1"/>
  <c r="AS86" i="1"/>
  <c r="AS84" i="1"/>
  <c r="AS83" i="1"/>
  <c r="AS82" i="1"/>
  <c r="AS77" i="1"/>
  <c r="AT77" i="1" s="1"/>
  <c r="AS71" i="1"/>
  <c r="AT71" i="1" s="1"/>
  <c r="AS70" i="1"/>
  <c r="AS65" i="1"/>
  <c r="AS62" i="1"/>
  <c r="AS61" i="1"/>
  <c r="AS59" i="1"/>
  <c r="AS57" i="1"/>
  <c r="AS56" i="1"/>
  <c r="S56" i="1" s="1"/>
  <c r="AS240" i="1"/>
  <c r="AT240" i="1" s="1"/>
  <c r="AS51" i="1"/>
  <c r="AS50" i="1"/>
  <c r="AS48" i="1"/>
  <c r="AT48" i="1" s="1"/>
  <c r="AS47" i="1"/>
  <c r="AT47" i="1" s="1"/>
  <c r="AS46" i="1"/>
  <c r="AS45" i="1"/>
  <c r="AS44" i="1"/>
  <c r="AS34" i="1"/>
  <c r="AS32" i="1"/>
  <c r="AT32" i="1" s="1"/>
  <c r="AS25" i="1"/>
  <c r="AS24" i="1"/>
  <c r="AS23" i="1"/>
  <c r="AS22" i="1"/>
  <c r="AS21" i="1"/>
  <c r="AS20" i="1"/>
  <c r="S20" i="1" s="1"/>
  <c r="AT20" i="1" s="1"/>
  <c r="AS19" i="1"/>
  <c r="S19" i="1" s="1"/>
  <c r="AS18" i="1"/>
  <c r="AT18" i="1" s="1"/>
  <c r="R795" i="1"/>
  <c r="R476" i="1"/>
  <c r="R467" i="1"/>
  <c r="R466" i="1"/>
  <c r="R792" i="1"/>
  <c r="R774" i="1"/>
  <c r="R757" i="1"/>
  <c r="R755" i="1"/>
  <c r="R712" i="1"/>
  <c r="R710" i="1"/>
  <c r="R412" i="1"/>
  <c r="R409" i="1"/>
  <c r="R706" i="1"/>
  <c r="T706" i="1" s="1"/>
  <c r="R695" i="1"/>
  <c r="R694" i="1"/>
  <c r="R680" i="1"/>
  <c r="R679" i="1"/>
  <c r="R678" i="1"/>
  <c r="R677" i="1"/>
  <c r="R676" i="1"/>
  <c r="R675" i="1"/>
  <c r="R674" i="1"/>
  <c r="R672" i="1"/>
  <c r="R671" i="1"/>
  <c r="R669" i="1"/>
  <c r="R668" i="1"/>
  <c r="R667" i="1"/>
  <c r="R665" i="1"/>
  <c r="T665" i="1" s="1"/>
  <c r="R664" i="1"/>
  <c r="R660" i="1"/>
  <c r="R363" i="1"/>
  <c r="R658" i="1"/>
  <c r="R368" i="1"/>
  <c r="R649" i="1"/>
  <c r="R637" i="1"/>
  <c r="R634" i="1"/>
  <c r="R342" i="1"/>
  <c r="S342" i="1" s="1"/>
  <c r="R631" i="1"/>
  <c r="R326" i="1"/>
  <c r="R626" i="1"/>
  <c r="R625" i="1"/>
  <c r="R619" i="1"/>
  <c r="R618" i="1"/>
  <c r="R604" i="1"/>
  <c r="R601" i="1"/>
  <c r="R299" i="1"/>
  <c r="R293" i="1"/>
  <c r="R292" i="1"/>
  <c r="R594" i="1"/>
  <c r="R593" i="1"/>
  <c r="R591" i="1"/>
  <c r="R590" i="1"/>
  <c r="R589" i="1"/>
  <c r="R286" i="1"/>
  <c r="R277" i="1"/>
  <c r="R272" i="1"/>
  <c r="R261" i="1"/>
  <c r="R260" i="1"/>
  <c r="R259" i="1"/>
  <c r="R258" i="1"/>
  <c r="R577" i="1"/>
  <c r="R567" i="1"/>
  <c r="R566" i="1"/>
  <c r="R562" i="1"/>
  <c r="R560" i="1"/>
  <c r="R558" i="1"/>
  <c r="R557" i="1"/>
  <c r="R555" i="1"/>
  <c r="R554" i="1"/>
  <c r="R550" i="1"/>
  <c r="R543" i="1"/>
  <c r="R542" i="1"/>
  <c r="R540" i="1"/>
  <c r="R539" i="1"/>
  <c r="R538" i="1"/>
  <c r="R531" i="1"/>
  <c r="R528" i="1"/>
  <c r="T528" i="1" s="1"/>
  <c r="R520" i="1"/>
  <c r="R222" i="1"/>
  <c r="R513" i="1"/>
  <c r="T513" i="1" s="1"/>
  <c r="R512" i="1"/>
  <c r="R501" i="1"/>
  <c r="R483" i="1"/>
  <c r="R482" i="1"/>
  <c r="R479" i="1"/>
  <c r="R192" i="1"/>
  <c r="R464" i="1"/>
  <c r="R179" i="1"/>
  <c r="R457" i="1"/>
  <c r="R456" i="1"/>
  <c r="R770" i="1"/>
  <c r="R447" i="1"/>
  <c r="R773" i="1"/>
  <c r="R772" i="1"/>
  <c r="R446" i="1"/>
  <c r="R771" i="1"/>
  <c r="R445" i="1"/>
  <c r="R769" i="1"/>
  <c r="R766" i="1"/>
  <c r="R765" i="1"/>
  <c r="R444" i="1"/>
  <c r="R443" i="1"/>
  <c r="R440" i="1"/>
  <c r="R439" i="1"/>
  <c r="R437" i="1"/>
  <c r="R744" i="1"/>
  <c r="R740" i="1"/>
  <c r="R428" i="1"/>
  <c r="R735" i="1"/>
  <c r="R690" i="1"/>
  <c r="R689" i="1"/>
  <c r="R400" i="1"/>
  <c r="R399" i="1"/>
  <c r="R687" i="1"/>
  <c r="R686" i="1"/>
  <c r="R685" i="1"/>
  <c r="R398" i="1"/>
  <c r="R684" i="1"/>
  <c r="R396" i="1"/>
  <c r="R395" i="1"/>
  <c r="R683" i="1"/>
  <c r="R682" i="1"/>
  <c r="R681" i="1"/>
  <c r="R392" i="1"/>
  <c r="R391" i="1"/>
  <c r="R388" i="1"/>
  <c r="R387" i="1"/>
  <c r="R385" i="1"/>
  <c r="R386" i="1"/>
  <c r="R383" i="1"/>
  <c r="R382" i="1"/>
  <c r="R381" i="1"/>
  <c r="R361" i="1"/>
  <c r="R650" i="1"/>
  <c r="R357" i="1"/>
  <c r="R356" i="1"/>
  <c r="R347" i="1"/>
  <c r="R344" i="1"/>
  <c r="R341" i="1"/>
  <c r="R340" i="1"/>
  <c r="AQ632" i="1" s="1"/>
  <c r="R116" i="1"/>
  <c r="R115" i="1"/>
  <c r="R334" i="1"/>
  <c r="R333" i="1"/>
  <c r="R332" i="1"/>
  <c r="R323" i="1"/>
  <c r="R314" i="1"/>
  <c r="R312" i="1"/>
  <c r="R311" i="1"/>
  <c r="R308" i="1"/>
  <c r="R307" i="1"/>
  <c r="R294" i="1"/>
  <c r="S105" i="1" s="1"/>
  <c r="AT105" i="1" s="1"/>
  <c r="R283" i="1"/>
  <c r="R282" i="1"/>
  <c r="R281" i="1"/>
  <c r="R55" i="1"/>
  <c r="T77" i="1" s="1"/>
  <c r="N77" i="1" s="1"/>
  <c r="R253" i="1"/>
  <c r="R252" i="1"/>
  <c r="R552" i="1"/>
  <c r="R551" i="1"/>
  <c r="R249" i="1"/>
  <c r="R247" i="1"/>
  <c r="R244" i="1"/>
  <c r="R242" i="1"/>
  <c r="R241" i="1"/>
  <c r="R547" i="1"/>
  <c r="R546" i="1"/>
  <c r="R514" i="1"/>
  <c r="R500" i="1"/>
  <c r="R502" i="1"/>
  <c r="R498" i="1"/>
  <c r="R218" i="1"/>
  <c r="R217" i="1"/>
  <c r="R487" i="1"/>
  <c r="R485" i="1"/>
  <c r="R202" i="1"/>
  <c r="S200" i="1"/>
  <c r="AS472" i="1" s="1"/>
  <c r="AT472" i="1" s="1"/>
  <c r="R199" i="1"/>
  <c r="R198" i="1"/>
  <c r="AQ474" i="1" s="1"/>
  <c r="R474" i="1" s="1"/>
  <c r="R196" i="1"/>
  <c r="R153" i="1"/>
  <c r="R152" i="1"/>
  <c r="R151" i="1"/>
  <c r="R119" i="1"/>
  <c r="R103" i="1"/>
  <c r="R102" i="1"/>
  <c r="R101" i="1"/>
  <c r="R99" i="1"/>
  <c r="R96" i="1"/>
  <c r="R90" i="1"/>
  <c r="R88" i="1"/>
  <c r="AQ300" i="1" s="1"/>
  <c r="R84" i="1"/>
  <c r="AQ596" i="1" s="1"/>
  <c r="R83" i="1"/>
  <c r="R82" i="1"/>
  <c r="R65" i="1"/>
  <c r="R64" i="1"/>
  <c r="R61" i="1"/>
  <c r="R50" i="1"/>
  <c r="R45" i="1"/>
  <c r="AQ251" i="1" s="1"/>
  <c r="R23" i="1"/>
  <c r="R21" i="1"/>
  <c r="R20" i="1"/>
  <c r="R19" i="1"/>
  <c r="R18" i="1"/>
  <c r="T618" i="1" l="1"/>
  <c r="T474" i="1"/>
  <c r="T566" i="1"/>
  <c r="T631" i="1"/>
  <c r="T558" i="1"/>
  <c r="T543" i="1"/>
  <c r="AQ778" i="1"/>
  <c r="T778" i="1"/>
  <c r="AT778" i="1"/>
  <c r="T736" i="1"/>
  <c r="AT736" i="1"/>
  <c r="AQ736" i="1"/>
  <c r="AQ688" i="1"/>
  <c r="T688" i="1"/>
  <c r="AT688" i="1"/>
  <c r="AQ670" i="1"/>
  <c r="R654" i="1"/>
  <c r="AQ652" i="1"/>
  <c r="R652" i="1" s="1"/>
  <c r="AQ653" i="1"/>
  <c r="R653" i="1" s="1"/>
  <c r="AT653" i="1"/>
  <c r="AQ644" i="1"/>
  <c r="AQ645" i="1"/>
  <c r="AT644" i="1"/>
  <c r="T644" i="1"/>
  <c r="AQ624" i="1"/>
  <c r="AT624" i="1"/>
  <c r="T624" i="1"/>
  <c r="S314" i="1"/>
  <c r="AS613" i="1" s="1"/>
  <c r="S613" i="1" s="1"/>
  <c r="AQ613" i="1"/>
  <c r="AQ611" i="1"/>
  <c r="AT611" i="1"/>
  <c r="T611" i="1"/>
  <c r="AQ549" i="1"/>
  <c r="R549" i="1" s="1"/>
  <c r="AQ564" i="1"/>
  <c r="AQ563" i="1"/>
  <c r="R563" i="1" s="1"/>
  <c r="AQ493" i="1"/>
  <c r="AT493" i="1"/>
  <c r="T493" i="1"/>
  <c r="AQ492" i="1"/>
  <c r="AT494" i="1"/>
  <c r="T494" i="1"/>
  <c r="AT495" i="1"/>
  <c r="T495" i="1"/>
  <c r="AT492" i="1"/>
  <c r="T492" i="1"/>
  <c r="T496" i="1"/>
  <c r="AT496" i="1"/>
  <c r="S637" i="1"/>
  <c r="AT19" i="1"/>
  <c r="AS211" i="1"/>
  <c r="S211" i="1" s="1"/>
  <c r="AQ232" i="1"/>
  <c r="R232" i="1" s="1"/>
  <c r="R729" i="1"/>
  <c r="AQ559" i="1"/>
  <c r="R559" i="1" s="1"/>
  <c r="T559" i="1" s="1"/>
  <c r="AQ780" i="1"/>
  <c r="R737" i="1"/>
  <c r="R720" i="1"/>
  <c r="AQ534" i="1"/>
  <c r="R534" i="1" s="1"/>
  <c r="R722" i="1"/>
  <c r="R499" i="1"/>
  <c r="AQ781" i="1"/>
  <c r="R723" i="1"/>
  <c r="R731" i="1"/>
  <c r="R728" i="1"/>
  <c r="R725" i="1"/>
  <c r="R732" i="1"/>
  <c r="R752" i="1"/>
  <c r="AQ779" i="1"/>
  <c r="AQ783" i="1"/>
  <c r="AQ421" i="1"/>
  <c r="R421" i="1" s="1"/>
  <c r="AQ704" i="1"/>
  <c r="AQ585" i="1"/>
  <c r="R585" i="1" s="1"/>
  <c r="R727" i="1"/>
  <c r="R715" i="1"/>
  <c r="AQ782" i="1"/>
  <c r="AP77" i="1"/>
  <c r="S70" i="1"/>
  <c r="AT70" i="1" s="1"/>
  <c r="S50" i="1"/>
  <c r="S84" i="1"/>
  <c r="R596" i="1"/>
  <c r="AQ784" i="1"/>
  <c r="AQ339" i="1"/>
  <c r="T114" i="1"/>
  <c r="AT107" i="1"/>
  <c r="AQ431" i="1"/>
  <c r="AQ423" i="1"/>
  <c r="R423" i="1" s="1"/>
  <c r="AS301" i="1"/>
  <c r="AQ301" i="1"/>
  <c r="R301" i="1" s="1"/>
  <c r="AT43" i="1"/>
  <c r="AT248" i="1"/>
  <c r="AT200" i="1"/>
  <c r="AT117" i="1"/>
  <c r="AT618" i="1"/>
  <c r="AT218" i="1"/>
  <c r="AT347" i="1"/>
  <c r="AT382" i="1"/>
  <c r="AT445" i="1"/>
  <c r="AT591" i="1"/>
  <c r="AT619" i="1"/>
  <c r="AT642" i="1"/>
  <c r="AT409" i="1"/>
  <c r="AT775" i="1"/>
  <c r="AT717" i="1"/>
  <c r="AT760" i="1"/>
  <c r="AT239" i="1"/>
  <c r="AT489" i="1"/>
  <c r="AT774" i="1"/>
  <c r="AT533" i="1"/>
  <c r="AT463" i="1"/>
  <c r="AT307" i="1"/>
  <c r="AT383" i="1"/>
  <c r="AT464" i="1"/>
  <c r="AT542" i="1"/>
  <c r="AT592" i="1"/>
  <c r="AT646" i="1"/>
  <c r="AT667" i="1"/>
  <c r="AT412" i="1"/>
  <c r="AT743" i="1"/>
  <c r="AT730" i="1"/>
  <c r="AT460" i="1"/>
  <c r="AT465" i="1"/>
  <c r="AT399" i="1"/>
  <c r="AT311" i="1"/>
  <c r="AT356" i="1"/>
  <c r="AT446" i="1"/>
  <c r="AT561" i="1"/>
  <c r="AT593" i="1"/>
  <c r="AT649" i="1"/>
  <c r="AT696" i="1"/>
  <c r="AT708" i="1"/>
  <c r="AT776" i="1"/>
  <c r="AT243" i="1"/>
  <c r="AT323" i="1"/>
  <c r="AT589" i="1"/>
  <c r="AT459" i="1"/>
  <c r="AT735" i="1"/>
  <c r="AT443" i="1"/>
  <c r="AT772" i="1"/>
  <c r="AT594" i="1"/>
  <c r="AT627" i="1"/>
  <c r="AT368" i="1"/>
  <c r="AT698" i="1"/>
  <c r="AT709" i="1"/>
  <c r="AT716" i="1"/>
  <c r="AT745" i="1"/>
  <c r="AT461" i="1"/>
  <c r="AT641" i="1"/>
  <c r="AT430" i="1"/>
  <c r="R71" i="1"/>
  <c r="AT51" i="1"/>
  <c r="AT249" i="1"/>
  <c r="AT313" i="1"/>
  <c r="AT332" i="1"/>
  <c r="AT685" i="1"/>
  <c r="AT428" i="1"/>
  <c r="AT444" i="1"/>
  <c r="AT482" i="1"/>
  <c r="AT554" i="1"/>
  <c r="AT579" i="1"/>
  <c r="AT586" i="1"/>
  <c r="AT292" i="1"/>
  <c r="AT699" i="1"/>
  <c r="AT710" i="1"/>
  <c r="AT777" i="1"/>
  <c r="AT435" i="1"/>
  <c r="AT245" i="1"/>
  <c r="AT277" i="1"/>
  <c r="AT706" i="1"/>
  <c r="AT333" i="1"/>
  <c r="AT765" i="1"/>
  <c r="AT447" i="1"/>
  <c r="AT483" i="1"/>
  <c r="AT520" i="1"/>
  <c r="AT555" i="1"/>
  <c r="AT268" i="1"/>
  <c r="AT293" i="1"/>
  <c r="AT629" i="1"/>
  <c r="AT638" i="1"/>
  <c r="AT363" i="1"/>
  <c r="AT700" i="1"/>
  <c r="AT711" i="1"/>
  <c r="AT458" i="1"/>
  <c r="AT462" i="1"/>
  <c r="AT217" i="1"/>
  <c r="AT769" i="1"/>
  <c r="T166" i="1"/>
  <c r="N166" i="1" s="1"/>
  <c r="AT166" i="1"/>
  <c r="AT334" i="1"/>
  <c r="AT362" i="1"/>
  <c r="AT766" i="1"/>
  <c r="AT456" i="1"/>
  <c r="AT556" i="1"/>
  <c r="AT567" i="1"/>
  <c r="AT272" i="1"/>
  <c r="AT286" i="1"/>
  <c r="AT617" i="1"/>
  <c r="AT660" i="1"/>
  <c r="AT702" i="1"/>
  <c r="AT436" i="1"/>
  <c r="AT106" i="1"/>
  <c r="T106" i="1"/>
  <c r="R713" i="1"/>
  <c r="S475" i="1"/>
  <c r="S62" i="1"/>
  <c r="AT62" i="1" s="1"/>
  <c r="T149" i="1"/>
  <c r="N149" i="1" s="1"/>
  <c r="R693" i="1"/>
  <c r="AQ338" i="1"/>
  <c r="R338" i="1" s="1"/>
  <c r="T141" i="1"/>
  <c r="N141" i="1" s="1"/>
  <c r="S143" i="1"/>
  <c r="AT143" i="1" s="1"/>
  <c r="S173" i="1"/>
  <c r="AT173" i="1" s="1"/>
  <c r="R435" i="1"/>
  <c r="S473" i="1"/>
  <c r="AQ337" i="1"/>
  <c r="R337" i="1" s="1"/>
  <c r="AQ271" i="1"/>
  <c r="R271" i="1" s="1"/>
  <c r="S96" i="1"/>
  <c r="AT96" i="1" s="1"/>
  <c r="T696" i="1"/>
  <c r="S23" i="1"/>
  <c r="T185" i="1"/>
  <c r="T186" i="1"/>
  <c r="T187" i="1"/>
  <c r="T201" i="1"/>
  <c r="T121" i="1"/>
  <c r="T51" i="1"/>
  <c r="N165" i="1"/>
  <c r="T182" i="1"/>
  <c r="AU716" i="1"/>
  <c r="AQ131" i="1"/>
  <c r="R131" i="1" s="1"/>
  <c r="T148" i="1" s="1"/>
  <c r="N148" i="1" s="1"/>
  <c r="R488" i="1"/>
  <c r="AQ269" i="1"/>
  <c r="R269" i="1" s="1"/>
  <c r="AQ581" i="1" s="1"/>
  <c r="R581" i="1" s="1"/>
  <c r="AQ320" i="1"/>
  <c r="AQ545" i="1"/>
  <c r="R545" i="1" s="1"/>
  <c r="AQ325" i="1"/>
  <c r="R220" i="1"/>
  <c r="R433" i="1"/>
  <c r="R300" i="1"/>
  <c r="R336" i="1"/>
  <c r="AQ525" i="1"/>
  <c r="R525" i="1" s="1"/>
  <c r="AQ441" i="1"/>
  <c r="S779" i="1"/>
  <c r="S783" i="1"/>
  <c r="AS131" i="1"/>
  <c r="S131" i="1" s="1"/>
  <c r="AT131" i="1" s="1"/>
  <c r="S741" i="1"/>
  <c r="S781" i="1"/>
  <c r="R296" i="1"/>
  <c r="R655" i="1"/>
  <c r="AQ255" i="1"/>
  <c r="R656" i="1"/>
  <c r="AQ212" i="1"/>
  <c r="R659" i="1"/>
  <c r="R432" i="1"/>
  <c r="R139" i="1"/>
  <c r="AQ666" i="1" s="1"/>
  <c r="R295" i="1"/>
  <c r="S648" i="1"/>
  <c r="N778" i="1" l="1"/>
  <c r="AP778" i="1" s="1"/>
  <c r="N736" i="1"/>
  <c r="AP736" i="1" s="1"/>
  <c r="N688" i="1"/>
  <c r="AP688" i="1" s="1"/>
  <c r="S654" i="1"/>
  <c r="T653" i="1"/>
  <c r="N644" i="1"/>
  <c r="AD644" i="1" s="1"/>
  <c r="AT314" i="1"/>
  <c r="N624" i="1"/>
  <c r="AP624" i="1" s="1"/>
  <c r="AT637" i="1"/>
  <c r="T613" i="1"/>
  <c r="AT613" i="1"/>
  <c r="N611" i="1"/>
  <c r="U611" i="1" s="1"/>
  <c r="S581" i="1"/>
  <c r="S549" i="1"/>
  <c r="S563" i="1"/>
  <c r="N494" i="1"/>
  <c r="AA494" i="1" s="1"/>
  <c r="N492" i="1"/>
  <c r="AD492" i="1" s="1"/>
  <c r="N495" i="1"/>
  <c r="N493" i="1"/>
  <c r="N496" i="1"/>
  <c r="AQ705" i="1"/>
  <c r="AS596" i="1"/>
  <c r="S596" i="1" s="1"/>
  <c r="T596" i="1" s="1"/>
  <c r="AP149" i="1"/>
  <c r="AP148" i="1"/>
  <c r="AP166" i="1"/>
  <c r="AP165" i="1"/>
  <c r="AP141" i="1"/>
  <c r="AT648" i="1"/>
  <c r="R325" i="1"/>
  <c r="AT84" i="1"/>
  <c r="AQ270" i="1"/>
  <c r="AT89" i="1"/>
  <c r="AT783" i="1"/>
  <c r="AT779" i="1"/>
  <c r="AT781" i="1"/>
  <c r="AT741" i="1"/>
  <c r="N696" i="1"/>
  <c r="AP696" i="1" s="1"/>
  <c r="AT473" i="1"/>
  <c r="N106" i="1"/>
  <c r="T475" i="1"/>
  <c r="AT475" i="1"/>
  <c r="AT419" i="1"/>
  <c r="T23" i="1"/>
  <c r="N23" i="1" s="1"/>
  <c r="AT23" i="1"/>
  <c r="AT266" i="1"/>
  <c r="T473" i="1"/>
  <c r="R159" i="1"/>
  <c r="V141" i="1"/>
  <c r="U141" i="1"/>
  <c r="AT154" i="1"/>
  <c r="AS762" i="1"/>
  <c r="AT762" i="1" s="1"/>
  <c r="N185" i="1"/>
  <c r="N182" i="1"/>
  <c r="N51" i="1"/>
  <c r="N187" i="1"/>
  <c r="N121" i="1"/>
  <c r="N201" i="1"/>
  <c r="N186" i="1"/>
  <c r="N108" i="1"/>
  <c r="T96" i="1"/>
  <c r="N107" i="1"/>
  <c r="AT595" i="1"/>
  <c r="R370" i="1"/>
  <c r="R666" i="1"/>
  <c r="S466" i="1"/>
  <c r="N466" i="1" s="1"/>
  <c r="AP466" i="1" s="1"/>
  <c r="R794" i="1"/>
  <c r="R791" i="1"/>
  <c r="R789" i="1"/>
  <c r="R786" i="1"/>
  <c r="T781" i="1"/>
  <c r="T779" i="1"/>
  <c r="T741" i="1"/>
  <c r="S732" i="1"/>
  <c r="S731" i="1"/>
  <c r="S729" i="1"/>
  <c r="S715" i="1"/>
  <c r="S704" i="1"/>
  <c r="S695" i="1"/>
  <c r="T660" i="1"/>
  <c r="E140" i="10"/>
  <c r="T147" i="1" s="1"/>
  <c r="T649" i="1"/>
  <c r="R640" i="1"/>
  <c r="S30" i="1"/>
  <c r="AT30" i="1" s="1"/>
  <c r="T586" i="1"/>
  <c r="T277" i="1"/>
  <c r="S28" i="1"/>
  <c r="AT28" i="1" s="1"/>
  <c r="S571" i="1"/>
  <c r="S221" i="1"/>
  <c r="S506" i="1"/>
  <c r="S505" i="1"/>
  <c r="S504" i="1"/>
  <c r="S503" i="1"/>
  <c r="S497" i="1"/>
  <c r="T483" i="1"/>
  <c r="E487" i="10"/>
  <c r="E201" i="10"/>
  <c r="E474" i="10"/>
  <c r="S471" i="1" s="1"/>
  <c r="E473" i="10"/>
  <c r="E472" i="10"/>
  <c r="E471" i="10"/>
  <c r="E470" i="10"/>
  <c r="E469" i="10"/>
  <c r="E468" i="10"/>
  <c r="E467" i="10"/>
  <c r="S785" i="1" s="1"/>
  <c r="T785" i="1" s="1"/>
  <c r="E188" i="10"/>
  <c r="R195" i="1" s="1"/>
  <c r="E466" i="10"/>
  <c r="E465" i="10"/>
  <c r="E779" i="10"/>
  <c r="E456" i="10"/>
  <c r="T447" i="1" s="1"/>
  <c r="E782" i="10"/>
  <c r="E781" i="10"/>
  <c r="E455" i="10"/>
  <c r="E780" i="10"/>
  <c r="E454" i="10"/>
  <c r="E778" i="10"/>
  <c r="E775" i="10"/>
  <c r="E774" i="10"/>
  <c r="E773" i="10"/>
  <c r="E772" i="10"/>
  <c r="E771" i="10"/>
  <c r="E769" i="10"/>
  <c r="S768" i="1" s="1"/>
  <c r="E453" i="10"/>
  <c r="E452" i="10"/>
  <c r="E451" i="10"/>
  <c r="S442" i="1" s="1"/>
  <c r="AS758" i="1" s="1"/>
  <c r="S758" i="1" s="1"/>
  <c r="E450" i="10"/>
  <c r="E449" i="10"/>
  <c r="E448" i="10"/>
  <c r="E763" i="10"/>
  <c r="E446" i="10"/>
  <c r="E759" i="10"/>
  <c r="E758" i="10"/>
  <c r="E445" i="10"/>
  <c r="E444" i="10"/>
  <c r="E443" i="10"/>
  <c r="E442" i="10"/>
  <c r="E755" i="10"/>
  <c r="E441" i="10"/>
  <c r="T432" i="1" s="1"/>
  <c r="E440" i="10"/>
  <c r="E753" i="10"/>
  <c r="E752" i="10"/>
  <c r="E439" i="10"/>
  <c r="T430" i="1" s="1"/>
  <c r="E749" i="10"/>
  <c r="E438" i="10"/>
  <c r="E437" i="10"/>
  <c r="E744" i="10"/>
  <c r="E733" i="10"/>
  <c r="S724" i="1" s="1"/>
  <c r="E435" i="10"/>
  <c r="E728" i="10"/>
  <c r="E699" i="10"/>
  <c r="S413" i="1" s="1"/>
  <c r="E698" i="10"/>
  <c r="E410" i="10"/>
  <c r="E409" i="10"/>
  <c r="E408" i="10"/>
  <c r="S405" i="1" s="1"/>
  <c r="N405" i="1" s="1"/>
  <c r="AP405" i="1" s="1"/>
  <c r="E696" i="10"/>
  <c r="R404" i="1" s="1"/>
  <c r="N404" i="1" s="1"/>
  <c r="E695" i="10"/>
  <c r="R403" i="1" s="1"/>
  <c r="N403" i="1" s="1"/>
  <c r="E694" i="10"/>
  <c r="E407" i="10"/>
  <c r="R402" i="1" s="1"/>
  <c r="N402" i="1" s="1"/>
  <c r="E693" i="10"/>
  <c r="E405" i="10"/>
  <c r="E404" i="10"/>
  <c r="E692" i="10"/>
  <c r="E691" i="10"/>
  <c r="E690" i="10"/>
  <c r="E401" i="10"/>
  <c r="E400" i="10"/>
  <c r="E399" i="10"/>
  <c r="T390" i="1" s="1"/>
  <c r="E398" i="10"/>
  <c r="T389" i="1" s="1"/>
  <c r="E397" i="10"/>
  <c r="E396" i="10"/>
  <c r="R394" i="1" s="1"/>
  <c r="N394" i="1" s="1"/>
  <c r="E394" i="10"/>
  <c r="E395" i="10"/>
  <c r="E392" i="10"/>
  <c r="E391" i="10"/>
  <c r="E390" i="10"/>
  <c r="E371" i="10"/>
  <c r="E139" i="10"/>
  <c r="E370" i="10"/>
  <c r="S361" i="1" s="1"/>
  <c r="E660" i="10"/>
  <c r="E659" i="10"/>
  <c r="E368" i="10"/>
  <c r="E366" i="10"/>
  <c r="S357" i="1" s="1"/>
  <c r="E365" i="10"/>
  <c r="E363" i="10"/>
  <c r="E652" i="10"/>
  <c r="E356" i="10"/>
  <c r="E355" i="10"/>
  <c r="T346" i="1" s="1"/>
  <c r="E353" i="10"/>
  <c r="E352" i="10"/>
  <c r="E350" i="10"/>
  <c r="T341" i="1" s="1"/>
  <c r="E349" i="10"/>
  <c r="S340" i="1" s="1"/>
  <c r="E125" i="10"/>
  <c r="S132" i="1" s="1"/>
  <c r="N132" i="1" s="1"/>
  <c r="E124" i="10"/>
  <c r="E348" i="10"/>
  <c r="T339" i="1" s="1"/>
  <c r="E121" i="10"/>
  <c r="E345" i="10"/>
  <c r="T336" i="1" s="1"/>
  <c r="E344" i="10"/>
  <c r="T335" i="1" s="1"/>
  <c r="E118" i="10"/>
  <c r="S125" i="1" s="1"/>
  <c r="AT125" i="1" s="1"/>
  <c r="E343" i="10"/>
  <c r="E342" i="10"/>
  <c r="E341" i="10"/>
  <c r="E340" i="10"/>
  <c r="E339" i="10"/>
  <c r="E338" i="10"/>
  <c r="E337" i="10"/>
  <c r="E332" i="10"/>
  <c r="P323" i="1" s="1"/>
  <c r="AU323" i="1" s="1"/>
  <c r="E329" i="10"/>
  <c r="R320" i="1" s="1"/>
  <c r="AQ621" i="1" s="1"/>
  <c r="R621" i="1" s="1"/>
  <c r="E330" i="10"/>
  <c r="E322" i="10"/>
  <c r="E321" i="10"/>
  <c r="S322" i="1" s="1"/>
  <c r="E320" i="10"/>
  <c r="E317" i="10"/>
  <c r="P317" i="1" s="1"/>
  <c r="AU317" i="1" s="1"/>
  <c r="E316" i="10"/>
  <c r="E104" i="10"/>
  <c r="E314" i="10"/>
  <c r="E313" i="10"/>
  <c r="T314" i="1" s="1"/>
  <c r="E307" i="10"/>
  <c r="E304" i="10"/>
  <c r="S310" i="1" s="1"/>
  <c r="AT310" i="1" s="1"/>
  <c r="E303" i="10"/>
  <c r="E300" i="10"/>
  <c r="E299" i="10"/>
  <c r="S301" i="1"/>
  <c r="E292" i="10"/>
  <c r="E291" i="10"/>
  <c r="E290" i="10"/>
  <c r="E289" i="10"/>
  <c r="E287" i="10"/>
  <c r="E87" i="10"/>
  <c r="S78" i="1" s="1"/>
  <c r="E278" i="10"/>
  <c r="E78" i="10"/>
  <c r="S86" i="1" s="1"/>
  <c r="E266" i="10"/>
  <c r="E264" i="10"/>
  <c r="E64" i="10"/>
  <c r="E262" i="10"/>
  <c r="E261" i="10"/>
  <c r="S271" i="1" s="1"/>
  <c r="E561" i="10"/>
  <c r="S270" i="1" s="1"/>
  <c r="E560" i="10"/>
  <c r="E550" i="10"/>
  <c r="S267" i="1" s="1"/>
  <c r="AS580" i="1" s="1"/>
  <c r="AT580" i="1" s="1"/>
  <c r="E542" i="10"/>
  <c r="E259" i="10"/>
  <c r="E258" i="10"/>
  <c r="E584" i="10"/>
  <c r="T575" i="1" s="1"/>
  <c r="E582" i="10"/>
  <c r="E256" i="10"/>
  <c r="E253" i="10"/>
  <c r="E251" i="10"/>
  <c r="E250" i="10"/>
  <c r="E248" i="10"/>
  <c r="E246" i="10"/>
  <c r="E556" i="10"/>
  <c r="E555" i="10"/>
  <c r="S569" i="1" s="1"/>
  <c r="E554" i="10"/>
  <c r="S568" i="1" s="1"/>
  <c r="E240" i="10"/>
  <c r="T231" i="1" s="1"/>
  <c r="E536" i="10"/>
  <c r="E534" i="10"/>
  <c r="E532" i="10"/>
  <c r="E524" i="10"/>
  <c r="E523" i="10"/>
  <c r="E509" i="10"/>
  <c r="E511" i="10"/>
  <c r="E507" i="10"/>
  <c r="S22" i="1"/>
  <c r="AT22" i="1" s="1"/>
  <c r="E227" i="10"/>
  <c r="E226" i="10"/>
  <c r="E496" i="10"/>
  <c r="E221" i="10"/>
  <c r="E220" i="10"/>
  <c r="T211" i="1" s="1"/>
  <c r="E219" i="10"/>
  <c r="P210" i="1" s="1"/>
  <c r="E494" i="10"/>
  <c r="T485" i="1" s="1"/>
  <c r="S135" i="1"/>
  <c r="AT135" i="1" s="1"/>
  <c r="AU210" i="1" l="1"/>
  <c r="T384" i="1"/>
  <c r="N384" i="1" s="1"/>
  <c r="U384" i="1" s="1"/>
  <c r="T362" i="1"/>
  <c r="T329" i="1"/>
  <c r="S275" i="1"/>
  <c r="T255" i="1"/>
  <c r="S366" i="1"/>
  <c r="T366" i="1" s="1"/>
  <c r="N366" i="1" s="1"/>
  <c r="AP366" i="1" s="1"/>
  <c r="T359" i="1"/>
  <c r="N724" i="1"/>
  <c r="AT724" i="1"/>
  <c r="U736" i="1"/>
  <c r="U778" i="1"/>
  <c r="V778" i="1"/>
  <c r="V736" i="1"/>
  <c r="P758" i="1"/>
  <c r="AT758" i="1"/>
  <c r="U688" i="1"/>
  <c r="V688" i="1"/>
  <c r="V644" i="1"/>
  <c r="U644" i="1"/>
  <c r="AA644" i="1"/>
  <c r="AP644" i="1"/>
  <c r="R393" i="1"/>
  <c r="N393" i="1" s="1"/>
  <c r="AP393" i="1" s="1"/>
  <c r="S386" i="1"/>
  <c r="N653" i="1"/>
  <c r="U653" i="1" s="1"/>
  <c r="AS652" i="1"/>
  <c r="S652" i="1" s="1"/>
  <c r="AT361" i="1"/>
  <c r="AD624" i="1"/>
  <c r="U624" i="1"/>
  <c r="V624" i="1"/>
  <c r="AS645" i="1"/>
  <c r="S645" i="1" s="1"/>
  <c r="AT357" i="1"/>
  <c r="AA624" i="1"/>
  <c r="AS632" i="1"/>
  <c r="S632" i="1" s="1"/>
  <c r="AT340" i="1"/>
  <c r="AQ628" i="1"/>
  <c r="R628" i="1" s="1"/>
  <c r="N613" i="1"/>
  <c r="AP613" i="1" s="1"/>
  <c r="S621" i="1"/>
  <c r="AP611" i="1"/>
  <c r="V611" i="1"/>
  <c r="N549" i="1"/>
  <c r="AA492" i="1"/>
  <c r="N563" i="1"/>
  <c r="AP563" i="1" s="1"/>
  <c r="V494" i="1"/>
  <c r="T18" i="1"/>
  <c r="N18" i="1" s="1"/>
  <c r="AP18" i="1" s="1"/>
  <c r="P217" i="1"/>
  <c r="AU217" i="1" s="1"/>
  <c r="T19" i="1"/>
  <c r="N19" i="1" s="1"/>
  <c r="AP19" i="1" s="1"/>
  <c r="P218" i="1"/>
  <c r="AU218" i="1" s="1"/>
  <c r="V492" i="1"/>
  <c r="U492" i="1"/>
  <c r="AP492" i="1"/>
  <c r="U494" i="1"/>
  <c r="AP494" i="1"/>
  <c r="AD494" i="1"/>
  <c r="AA496" i="1"/>
  <c r="V496" i="1"/>
  <c r="AD496" i="1"/>
  <c r="U496" i="1"/>
  <c r="AP496" i="1"/>
  <c r="V493" i="1"/>
  <c r="AA493" i="1"/>
  <c r="U493" i="1"/>
  <c r="AP493" i="1"/>
  <c r="AD493" i="1"/>
  <c r="AA495" i="1"/>
  <c r="AD495" i="1"/>
  <c r="U495" i="1"/>
  <c r="V495" i="1"/>
  <c r="AP495" i="1"/>
  <c r="AT231" i="1"/>
  <c r="N231" i="1"/>
  <c r="S26" i="1"/>
  <c r="AT26" i="1" s="1"/>
  <c r="T482" i="1"/>
  <c r="AT795" i="1"/>
  <c r="U466" i="1"/>
  <c r="AT571" i="1"/>
  <c r="AT665" i="1"/>
  <c r="AT674" i="1"/>
  <c r="AU780" i="1"/>
  <c r="R780" i="1"/>
  <c r="AT476" i="1"/>
  <c r="AT528" i="1"/>
  <c r="AT466" i="1"/>
  <c r="AT695" i="1"/>
  <c r="AT679" i="1"/>
  <c r="AT513" i="1"/>
  <c r="S370" i="1"/>
  <c r="T370" i="1" s="1"/>
  <c r="AS297" i="1"/>
  <c r="AP201" i="1"/>
  <c r="AP23" i="1"/>
  <c r="AP107" i="1"/>
  <c r="AP121" i="1"/>
  <c r="U106" i="1"/>
  <c r="AP51" i="1"/>
  <c r="AP132" i="1"/>
  <c r="AP108" i="1"/>
  <c r="N596" i="1"/>
  <c r="N430" i="1"/>
  <c r="AP430" i="1" s="1"/>
  <c r="T593" i="1"/>
  <c r="T299" i="1"/>
  <c r="T272" i="1"/>
  <c r="N272" i="1" s="1"/>
  <c r="AP272" i="1" s="1"/>
  <c r="AU537" i="1"/>
  <c r="AT262" i="1"/>
  <c r="T619" i="1"/>
  <c r="N619" i="1" s="1"/>
  <c r="AP619" i="1" s="1"/>
  <c r="T629" i="1"/>
  <c r="AT270" i="1"/>
  <c r="N270" i="1"/>
  <c r="S434" i="1"/>
  <c r="T761" i="1"/>
  <c r="R468" i="1"/>
  <c r="T623" i="1"/>
  <c r="N623" i="1" s="1"/>
  <c r="AP623" i="1" s="1"/>
  <c r="S229" i="1"/>
  <c r="AT229" i="1" s="1"/>
  <c r="S365" i="1"/>
  <c r="T365" i="1" s="1"/>
  <c r="N365" i="1" s="1"/>
  <c r="AP402" i="1"/>
  <c r="V402" i="1"/>
  <c r="U402" i="1"/>
  <c r="T567" i="1"/>
  <c r="T594" i="1"/>
  <c r="N594" i="1" s="1"/>
  <c r="AP594" i="1" s="1"/>
  <c r="AT86" i="1"/>
  <c r="AT471" i="1"/>
  <c r="U405" i="1"/>
  <c r="N413" i="1"/>
  <c r="AP413" i="1" s="1"/>
  <c r="AT273" i="1"/>
  <c r="S294" i="1"/>
  <c r="AT294" i="1" s="1"/>
  <c r="AT254" i="1"/>
  <c r="N86" i="1"/>
  <c r="N785" i="1"/>
  <c r="AP785" i="1" s="1"/>
  <c r="V405" i="1"/>
  <c r="AT413" i="1"/>
  <c r="AT569" i="1"/>
  <c r="N569" i="1"/>
  <c r="T239" i="1"/>
  <c r="AP248" i="1"/>
  <c r="AP403" i="1"/>
  <c r="U403" i="1"/>
  <c r="V403" i="1"/>
  <c r="AT503" i="1"/>
  <c r="N503" i="1"/>
  <c r="AP503" i="1" s="1"/>
  <c r="N528" i="1"/>
  <c r="AP528" i="1" s="1"/>
  <c r="N277" i="1"/>
  <c r="AP277" i="1" s="1"/>
  <c r="T29" i="1"/>
  <c r="N29" i="1" s="1"/>
  <c r="T292" i="1"/>
  <c r="N292" i="1" s="1"/>
  <c r="AP292" i="1" s="1"/>
  <c r="T471" i="1"/>
  <c r="N471" i="1" s="1"/>
  <c r="AT790" i="1"/>
  <c r="AT322" i="1"/>
  <c r="AT768" i="1"/>
  <c r="R524" i="1"/>
  <c r="AT623" i="1"/>
  <c r="U404" i="1"/>
  <c r="AP404" i="1"/>
  <c r="V404" i="1"/>
  <c r="N504" i="1"/>
  <c r="AT504" i="1"/>
  <c r="S233" i="1"/>
  <c r="AT405" i="1"/>
  <c r="S226" i="1"/>
  <c r="AT226" i="1" s="1"/>
  <c r="V394" i="1"/>
  <c r="U394" i="1"/>
  <c r="AP394" i="1"/>
  <c r="T445" i="1"/>
  <c r="AT505" i="1"/>
  <c r="N505" i="1"/>
  <c r="T243" i="1"/>
  <c r="S590" i="1"/>
  <c r="AT267" i="1"/>
  <c r="N267" i="1"/>
  <c r="AT506" i="1"/>
  <c r="N506" i="1"/>
  <c r="T556" i="1"/>
  <c r="R526" i="1"/>
  <c r="AT568" i="1"/>
  <c r="N568" i="1"/>
  <c r="S269" i="1"/>
  <c r="AS581" i="1" s="1"/>
  <c r="R95" i="1"/>
  <c r="S111" i="1"/>
  <c r="AP384" i="1"/>
  <c r="S401" i="1"/>
  <c r="T446" i="1"/>
  <c r="S230" i="1"/>
  <c r="AU615" i="1"/>
  <c r="AT785" i="1"/>
  <c r="N55" i="1"/>
  <c r="AP55" i="1" s="1"/>
  <c r="AS289" i="1"/>
  <c r="AT78" i="1"/>
  <c r="N301" i="1"/>
  <c r="AP301" i="1" s="1"/>
  <c r="AP106" i="1"/>
  <c r="V106" i="1"/>
  <c r="AT301" i="1"/>
  <c r="N475" i="1"/>
  <c r="AP475" i="1" s="1"/>
  <c r="U696" i="1"/>
  <c r="N781" i="1"/>
  <c r="AP781" i="1" s="1"/>
  <c r="N779" i="1"/>
  <c r="AP779" i="1" s="1"/>
  <c r="N660" i="1"/>
  <c r="AP660" i="1" s="1"/>
  <c r="N648" i="1"/>
  <c r="AP648" i="1" s="1"/>
  <c r="AU648" i="1"/>
  <c r="T105" i="1"/>
  <c r="N105" i="1" s="1"/>
  <c r="S640" i="1"/>
  <c r="N640" i="1" s="1"/>
  <c r="AP640" i="1" s="1"/>
  <c r="N741" i="1"/>
  <c r="AP741" i="1" s="1"/>
  <c r="N288" i="1"/>
  <c r="AP288" i="1" s="1"/>
  <c r="N473" i="1"/>
  <c r="AP473" i="1" s="1"/>
  <c r="T542" i="1"/>
  <c r="T174" i="1"/>
  <c r="N174" i="1" s="1"/>
  <c r="T489" i="1"/>
  <c r="N96" i="1"/>
  <c r="T304" i="1"/>
  <c r="T332" i="1"/>
  <c r="P347" i="1"/>
  <c r="T769" i="1"/>
  <c r="T766" i="1"/>
  <c r="T305" i="1"/>
  <c r="T464" i="1"/>
  <c r="T323" i="1"/>
  <c r="T334" i="1"/>
  <c r="T340" i="1"/>
  <c r="S388" i="1"/>
  <c r="T249" i="1"/>
  <c r="T356" i="1"/>
  <c r="T458" i="1"/>
  <c r="R328" i="1"/>
  <c r="T459" i="1"/>
  <c r="S487" i="1"/>
  <c r="S391" i="1"/>
  <c r="S440" i="1"/>
  <c r="T271" i="1"/>
  <c r="T533" i="1"/>
  <c r="T685" i="1"/>
  <c r="T436" i="1"/>
  <c r="T461" i="1"/>
  <c r="P291" i="1"/>
  <c r="AU291" i="1" s="1"/>
  <c r="T476" i="1"/>
  <c r="T679" i="1"/>
  <c r="S371" i="1"/>
  <c r="T642" i="1"/>
  <c r="S694" i="1"/>
  <c r="S687" i="1"/>
  <c r="S381" i="1"/>
  <c r="S224" i="1"/>
  <c r="T646" i="1"/>
  <c r="T409" i="1"/>
  <c r="T368" i="1"/>
  <c r="T699" i="1"/>
  <c r="T412" i="1"/>
  <c r="T579" i="1"/>
  <c r="T698" i="1"/>
  <c r="S457" i="1"/>
  <c r="S179" i="1"/>
  <c r="T641" i="1"/>
  <c r="T700" i="1"/>
  <c r="T708" i="1"/>
  <c r="T131" i="1"/>
  <c r="T709" i="1"/>
  <c r="T730" i="1"/>
  <c r="T783" i="1"/>
  <c r="S439" i="1"/>
  <c r="T702" i="1"/>
  <c r="T710" i="1"/>
  <c r="T363" i="1"/>
  <c r="T667" i="1"/>
  <c r="T711" i="1"/>
  <c r="T745" i="1"/>
  <c r="T757" i="1"/>
  <c r="T712" i="1"/>
  <c r="N706" i="1"/>
  <c r="S622" i="1"/>
  <c r="N177" i="1"/>
  <c r="AP177" i="1" s="1"/>
  <c r="S129" i="1"/>
  <c r="AT129" i="1" s="1"/>
  <c r="S167" i="1"/>
  <c r="AT167" i="1" s="1"/>
  <c r="T591" i="1"/>
  <c r="N447" i="1"/>
  <c r="AP447" i="1" s="1"/>
  <c r="S714" i="1"/>
  <c r="S199" i="1"/>
  <c r="AT199" i="1" s="1"/>
  <c r="S198" i="1"/>
  <c r="AT198" i="1" s="1"/>
  <c r="R193" i="1"/>
  <c r="S764" i="1"/>
  <c r="T160" i="1"/>
  <c r="T158" i="1"/>
  <c r="S156" i="1"/>
  <c r="S152" i="1"/>
  <c r="R397" i="1"/>
  <c r="S139" i="1"/>
  <c r="S128" i="1"/>
  <c r="AS655" i="1" s="1"/>
  <c r="S655" i="1" s="1"/>
  <c r="S119" i="1"/>
  <c r="AT119" i="1" s="1"/>
  <c r="S118" i="1"/>
  <c r="S104" i="1"/>
  <c r="AT104" i="1" s="1"/>
  <c r="S102" i="1"/>
  <c r="R92" i="1"/>
  <c r="S116" i="1" s="1"/>
  <c r="AT116" i="1" s="1"/>
  <c r="S90" i="1"/>
  <c r="AT90" i="1" s="1"/>
  <c r="S68" i="1"/>
  <c r="AT68" i="1" s="1"/>
  <c r="S59" i="1"/>
  <c r="AT59" i="1" s="1"/>
  <c r="R53" i="1"/>
  <c r="AQ570" i="1" s="1"/>
  <c r="S42" i="1"/>
  <c r="AT42" i="1" s="1"/>
  <c r="S498" i="1"/>
  <c r="S514" i="1"/>
  <c r="S527" i="1"/>
  <c r="S545" i="1"/>
  <c r="S547" i="1"/>
  <c r="S242" i="1"/>
  <c r="AS563" i="1" s="1"/>
  <c r="AT563" i="1" s="1"/>
  <c r="S247" i="1"/>
  <c r="AT247" i="1" s="1"/>
  <c r="S551" i="1"/>
  <c r="AS232" i="1" s="1"/>
  <c r="S252" i="1"/>
  <c r="AS549" i="1" s="1"/>
  <c r="AT549" i="1" s="1"/>
  <c r="R280" i="1"/>
  <c r="S282" i="1"/>
  <c r="R290" i="1"/>
  <c r="S320" i="1"/>
  <c r="AS621" i="1" s="1"/>
  <c r="R331" i="1"/>
  <c r="R643" i="1"/>
  <c r="R130" i="1"/>
  <c r="AQ657" i="1" s="1"/>
  <c r="S387" i="1"/>
  <c r="S681" i="1"/>
  <c r="S683" i="1"/>
  <c r="S396" i="1"/>
  <c r="S398" i="1"/>
  <c r="S686" i="1"/>
  <c r="S690" i="1"/>
  <c r="S719" i="1"/>
  <c r="S429" i="1"/>
  <c r="S431" i="1"/>
  <c r="S433" i="1"/>
  <c r="S749" i="1"/>
  <c r="S754" i="1"/>
  <c r="S771" i="1"/>
  <c r="S192" i="1"/>
  <c r="AT192" i="1" s="1"/>
  <c r="S480" i="1"/>
  <c r="S219" i="1"/>
  <c r="S223" i="1"/>
  <c r="T532" i="1"/>
  <c r="S536" i="1"/>
  <c r="S538" i="1"/>
  <c r="S540" i="1"/>
  <c r="S560" i="1"/>
  <c r="S562" i="1"/>
  <c r="S572" i="1"/>
  <c r="S258" i="1"/>
  <c r="S260" i="1"/>
  <c r="S578" i="1"/>
  <c r="S585" i="1"/>
  <c r="R600" i="1"/>
  <c r="S326" i="1"/>
  <c r="S658" i="1"/>
  <c r="S748" i="1"/>
  <c r="S752" i="1"/>
  <c r="S755" i="1"/>
  <c r="T775" i="1"/>
  <c r="T776" i="1"/>
  <c r="T777" i="1"/>
  <c r="S202" i="1"/>
  <c r="AT202" i="1" s="1"/>
  <c r="S195" i="1"/>
  <c r="AT195" i="1" s="1"/>
  <c r="S170" i="1"/>
  <c r="AT170" i="1" s="1"/>
  <c r="S157" i="1"/>
  <c r="AT157" i="1" s="1"/>
  <c r="S155" i="1"/>
  <c r="AT155" i="1" s="1"/>
  <c r="S151" i="1"/>
  <c r="AS704" i="1" s="1"/>
  <c r="S123" i="1"/>
  <c r="R120" i="1"/>
  <c r="S140" i="1" s="1"/>
  <c r="S103" i="1"/>
  <c r="AT103" i="1" s="1"/>
  <c r="S101" i="1"/>
  <c r="S94" i="1"/>
  <c r="S87" i="1"/>
  <c r="AT87" i="1" s="1"/>
  <c r="S82" i="1"/>
  <c r="AT82" i="1" s="1"/>
  <c r="S73" i="1"/>
  <c r="S40" i="1"/>
  <c r="AT40" i="1" s="1"/>
  <c r="R31" i="1"/>
  <c r="S25" i="1"/>
  <c r="AS488" i="1" s="1"/>
  <c r="S21" i="1"/>
  <c r="AT21" i="1" s="1"/>
  <c r="S500" i="1"/>
  <c r="S515" i="1"/>
  <c r="S525" i="1"/>
  <c r="AS534" i="1"/>
  <c r="S546" i="1"/>
  <c r="S237" i="1"/>
  <c r="S241" i="1"/>
  <c r="S244" i="1"/>
  <c r="AS564" i="1" s="1"/>
  <c r="S573" i="1"/>
  <c r="S541" i="1"/>
  <c r="S552" i="1"/>
  <c r="S253" i="1"/>
  <c r="R69" i="1"/>
  <c r="AQ268" i="1" s="1"/>
  <c r="S283" i="1"/>
  <c r="S308" i="1"/>
  <c r="S312" i="1"/>
  <c r="N314" i="1"/>
  <c r="AP314" i="1" s="1"/>
  <c r="S112" i="1"/>
  <c r="R343" i="1"/>
  <c r="S650" i="1"/>
  <c r="S682" i="1"/>
  <c r="S395" i="1"/>
  <c r="S684" i="1"/>
  <c r="S400" i="1"/>
  <c r="S689" i="1"/>
  <c r="S740" i="1"/>
  <c r="S744" i="1"/>
  <c r="S746" i="1"/>
  <c r="S750" i="1"/>
  <c r="S437" i="1"/>
  <c r="S773" i="1"/>
  <c r="S770" i="1"/>
  <c r="S478" i="1"/>
  <c r="S479" i="1"/>
  <c r="S501" i="1"/>
  <c r="S512" i="1"/>
  <c r="S222" i="1"/>
  <c r="S518" i="1"/>
  <c r="S535" i="1"/>
  <c r="S539" i="1"/>
  <c r="S553" i="1"/>
  <c r="S236" i="1"/>
  <c r="S557" i="1"/>
  <c r="S259" i="1"/>
  <c r="S261" i="1"/>
  <c r="S263" i="1"/>
  <c r="S264" i="1"/>
  <c r="R584" i="1"/>
  <c r="S604" i="1"/>
  <c r="S605" i="1"/>
  <c r="S607" i="1"/>
  <c r="R609" i="1"/>
  <c r="S319" i="1"/>
  <c r="S625" i="1"/>
  <c r="S634" i="1"/>
  <c r="N649" i="1"/>
  <c r="AP649" i="1" s="1"/>
  <c r="S671" i="1"/>
  <c r="R673" i="1"/>
  <c r="S677" i="1"/>
  <c r="S718" i="1"/>
  <c r="S737" i="1"/>
  <c r="S751" i="1"/>
  <c r="S753" i="1"/>
  <c r="T774" i="1"/>
  <c r="S133" i="1"/>
  <c r="AS659" i="1" s="1"/>
  <c r="S659" i="1" s="1"/>
  <c r="T659" i="1" s="1"/>
  <c r="T245" i="1"/>
  <c r="S161" i="1"/>
  <c r="S191" i="1"/>
  <c r="AT191" i="1" s="1"/>
  <c r="R137" i="1"/>
  <c r="S153" i="1" s="1"/>
  <c r="AT153" i="1" s="1"/>
  <c r="S99" i="1"/>
  <c r="AT99" i="1" s="1"/>
  <c r="S190" i="1"/>
  <c r="AT190" i="1" s="1"/>
  <c r="S134" i="1"/>
  <c r="AT134" i="1" s="1"/>
  <c r="T22" i="1"/>
  <c r="S44" i="1"/>
  <c r="AS536" i="1" s="1"/>
  <c r="T36" i="1"/>
  <c r="S83" i="1"/>
  <c r="AT83" i="1" s="1"/>
  <c r="R35" i="1"/>
  <c r="S63" i="1"/>
  <c r="AT50" i="1"/>
  <c r="N70" i="1"/>
  <c r="S61" i="1"/>
  <c r="AT61" i="1" s="1"/>
  <c r="S666" i="1"/>
  <c r="R608" i="1"/>
  <c r="R610" i="1"/>
  <c r="AU620" i="1"/>
  <c r="S626" i="1"/>
  <c r="S669" i="1"/>
  <c r="S672" i="1"/>
  <c r="S676" i="1"/>
  <c r="S678" i="1"/>
  <c r="S680" i="1"/>
  <c r="N716" i="1"/>
  <c r="AP716" i="1" s="1"/>
  <c r="S726" i="1"/>
  <c r="S786" i="1"/>
  <c r="S788" i="1"/>
  <c r="S791" i="1"/>
  <c r="R793" i="1"/>
  <c r="R651" i="1"/>
  <c r="T71" i="1"/>
  <c r="R278" i="1"/>
  <c r="S281" i="1"/>
  <c r="R330" i="1"/>
  <c r="R635" i="1"/>
  <c r="S664" i="1"/>
  <c r="S668" i="1"/>
  <c r="S675" i="1"/>
  <c r="S693" i="1"/>
  <c r="S727" i="1"/>
  <c r="S747" i="1"/>
  <c r="S787" i="1"/>
  <c r="S789" i="1"/>
  <c r="S792" i="1"/>
  <c r="S794" i="1"/>
  <c r="S467" i="1"/>
  <c r="R91" i="1"/>
  <c r="S196" i="1"/>
  <c r="AT196" i="1" s="1"/>
  <c r="S194" i="1"/>
  <c r="AT194" i="1" s="1"/>
  <c r="R24" i="1"/>
  <c r="AQ214" i="1" s="1"/>
  <c r="V384" i="1" l="1"/>
  <c r="AT233" i="1"/>
  <c r="AP596" i="1"/>
  <c r="U596" i="1"/>
  <c r="AP568" i="1"/>
  <c r="U568" i="1"/>
  <c r="AP506" i="1"/>
  <c r="U506" i="1"/>
  <c r="V506" i="1"/>
  <c r="AP504" i="1"/>
  <c r="U504" i="1"/>
  <c r="V504" i="1"/>
  <c r="AP706" i="1"/>
  <c r="U706" i="1"/>
  <c r="AP569" i="1"/>
  <c r="U569" i="1"/>
  <c r="AP505" i="1"/>
  <c r="U505" i="1"/>
  <c r="V505" i="1"/>
  <c r="U366" i="1"/>
  <c r="T230" i="1"/>
  <c r="N230" i="1" s="1"/>
  <c r="V366" i="1"/>
  <c r="AT118" i="1"/>
  <c r="AS633" i="1"/>
  <c r="S633" i="1" s="1"/>
  <c r="AP724" i="1"/>
  <c r="V724" i="1"/>
  <c r="U724" i="1"/>
  <c r="S297" i="1"/>
  <c r="AU758" i="1"/>
  <c r="T758" i="1"/>
  <c r="V393" i="1"/>
  <c r="U393" i="1"/>
  <c r="AP653" i="1"/>
  <c r="V653" i="1"/>
  <c r="AS670" i="1"/>
  <c r="S670" i="1" s="1"/>
  <c r="AT386" i="1"/>
  <c r="AT652" i="1"/>
  <c r="T652" i="1"/>
  <c r="T645" i="1"/>
  <c r="AT645" i="1"/>
  <c r="AT621" i="1"/>
  <c r="T632" i="1"/>
  <c r="AT632" i="1"/>
  <c r="V613" i="1"/>
  <c r="U613" i="1"/>
  <c r="T628" i="1"/>
  <c r="N621" i="1"/>
  <c r="U563" i="1"/>
  <c r="V563" i="1"/>
  <c r="T581" i="1"/>
  <c r="AT581" i="1"/>
  <c r="AP549" i="1"/>
  <c r="V549" i="1"/>
  <c r="U549" i="1"/>
  <c r="N26" i="1"/>
  <c r="AP26" i="1" s="1"/>
  <c r="AP231" i="1"/>
  <c r="U231" i="1"/>
  <c r="V231" i="1"/>
  <c r="AT470" i="1"/>
  <c r="AQ630" i="1"/>
  <c r="R630" i="1" s="1"/>
  <c r="S780" i="1"/>
  <c r="N567" i="1"/>
  <c r="AP567" i="1" s="1"/>
  <c r="AT370" i="1"/>
  <c r="V785" i="1"/>
  <c r="AS423" i="1"/>
  <c r="AT139" i="1"/>
  <c r="AS666" i="1"/>
  <c r="AT666" i="1" s="1"/>
  <c r="AT25" i="1"/>
  <c r="AQ306" i="1"/>
  <c r="R306" i="1" s="1"/>
  <c r="N593" i="1"/>
  <c r="AP593" i="1" s="1"/>
  <c r="N446" i="1"/>
  <c r="AP446" i="1" s="1"/>
  <c r="AT434" i="1"/>
  <c r="AP105" i="1"/>
  <c r="AP29" i="1"/>
  <c r="AP86" i="1"/>
  <c r="AP70" i="1"/>
  <c r="AP96" i="1"/>
  <c r="AP174" i="1"/>
  <c r="N556" i="1"/>
  <c r="AP556" i="1" s="1"/>
  <c r="N233" i="1"/>
  <c r="AP233" i="1" s="1"/>
  <c r="AU729" i="1"/>
  <c r="N445" i="1"/>
  <c r="AP445" i="1" s="1"/>
  <c r="U785" i="1"/>
  <c r="T229" i="1"/>
  <c r="N229" i="1" s="1"/>
  <c r="AP229" i="1" s="1"/>
  <c r="T537" i="1"/>
  <c r="V413" i="1"/>
  <c r="U413" i="1"/>
  <c r="N243" i="1"/>
  <c r="AP243" i="1" s="1"/>
  <c r="T226" i="1"/>
  <c r="N226" i="1" s="1"/>
  <c r="AP226" i="1" s="1"/>
  <c r="AT230" i="1"/>
  <c r="S526" i="1"/>
  <c r="T526" i="1" s="1"/>
  <c r="N629" i="1"/>
  <c r="AP629" i="1" s="1"/>
  <c r="T590" i="1"/>
  <c r="S468" i="1"/>
  <c r="AT590" i="1"/>
  <c r="AT615" i="1"/>
  <c r="X503" i="1"/>
  <c r="V503" i="1"/>
  <c r="U503" i="1"/>
  <c r="AT761" i="1"/>
  <c r="N761" i="1"/>
  <c r="U270" i="1"/>
  <c r="AP270" i="1"/>
  <c r="V270" i="1"/>
  <c r="AP365" i="1"/>
  <c r="U365" i="1"/>
  <c r="V365" i="1"/>
  <c r="U267" i="1"/>
  <c r="AP267" i="1"/>
  <c r="S524" i="1"/>
  <c r="AS336" i="1"/>
  <c r="AT336" i="1" s="1"/>
  <c r="X111" i="1"/>
  <c r="N111" i="1"/>
  <c r="AT111" i="1"/>
  <c r="U301" i="1"/>
  <c r="V301" i="1"/>
  <c r="S45" i="1"/>
  <c r="AT45" i="1" s="1"/>
  <c r="S52" i="1"/>
  <c r="N52" i="1" s="1"/>
  <c r="AT151" i="1"/>
  <c r="AS421" i="1"/>
  <c r="AT140" i="1"/>
  <c r="AS387" i="1"/>
  <c r="AT387" i="1" s="1"/>
  <c r="AT133" i="1"/>
  <c r="AS365" i="1"/>
  <c r="AT365" i="1" s="1"/>
  <c r="AT128" i="1"/>
  <c r="AS366" i="1"/>
  <c r="AT366" i="1" s="1"/>
  <c r="V475" i="1"/>
  <c r="AT289" i="1"/>
  <c r="N289" i="1"/>
  <c r="AT73" i="1"/>
  <c r="AS274" i="1"/>
  <c r="AT274" i="1" s="1"/>
  <c r="U648" i="1"/>
  <c r="V623" i="1"/>
  <c r="U528" i="1"/>
  <c r="V430" i="1"/>
  <c r="U619" i="1"/>
  <c r="U741" i="1"/>
  <c r="U623" i="1"/>
  <c r="U475" i="1"/>
  <c r="U594" i="1"/>
  <c r="U277" i="1"/>
  <c r="U779" i="1"/>
  <c r="U430" i="1"/>
  <c r="U781" i="1"/>
  <c r="AT764" i="1"/>
  <c r="U272" i="1"/>
  <c r="AT442" i="1"/>
  <c r="T795" i="1"/>
  <c r="AU795" i="1"/>
  <c r="U292" i="1"/>
  <c r="V288" i="1"/>
  <c r="U660" i="1"/>
  <c r="U288" i="1"/>
  <c r="U473" i="1"/>
  <c r="AT675" i="1"/>
  <c r="N532" i="1"/>
  <c r="AP532" i="1" s="1"/>
  <c r="N699" i="1"/>
  <c r="AP699" i="1" s="1"/>
  <c r="AT342" i="1"/>
  <c r="AT400" i="1"/>
  <c r="AT572" i="1"/>
  <c r="T762" i="1"/>
  <c r="AT754" i="1"/>
  <c r="AT514" i="1"/>
  <c r="N591" i="1"/>
  <c r="AP591" i="1" s="1"/>
  <c r="N708" i="1"/>
  <c r="AP708" i="1" s="1"/>
  <c r="N646" i="1"/>
  <c r="AP646" i="1" s="1"/>
  <c r="T674" i="1"/>
  <c r="AU674" i="1"/>
  <c r="N249" i="1"/>
  <c r="AP249" i="1" s="1"/>
  <c r="N347" i="1"/>
  <c r="AP347" i="1" s="1"/>
  <c r="AU347" i="1"/>
  <c r="AT792" i="1"/>
  <c r="AT668" i="1"/>
  <c r="S392" i="1"/>
  <c r="N392" i="1" s="1"/>
  <c r="AP392" i="1" s="1"/>
  <c r="AT680" i="1"/>
  <c r="T294" i="1"/>
  <c r="N294" i="1" s="1"/>
  <c r="AP294" i="1" s="1"/>
  <c r="AT63" i="1"/>
  <c r="T181" i="1"/>
  <c r="N181" i="1" s="1"/>
  <c r="AT161" i="1"/>
  <c r="AT631" i="1"/>
  <c r="N574" i="1"/>
  <c r="AP574" i="1" s="1"/>
  <c r="AU574" i="1"/>
  <c r="AT518" i="1"/>
  <c r="AT478" i="1"/>
  <c r="AT684" i="1"/>
  <c r="AT515" i="1"/>
  <c r="T143" i="1"/>
  <c r="N143" i="1" s="1"/>
  <c r="AT123" i="1"/>
  <c r="AT302" i="1"/>
  <c r="AT566" i="1"/>
  <c r="AT683" i="1"/>
  <c r="AT252" i="1"/>
  <c r="T126" i="1"/>
  <c r="N126" i="1" s="1"/>
  <c r="AT102" i="1"/>
  <c r="AS431" i="1"/>
  <c r="AT431" i="1" s="1"/>
  <c r="AT152" i="1"/>
  <c r="N710" i="1"/>
  <c r="AP710" i="1" s="1"/>
  <c r="N700" i="1"/>
  <c r="AP700" i="1" s="1"/>
  <c r="N368" i="1"/>
  <c r="AP368" i="1" s="1"/>
  <c r="AT211" i="1"/>
  <c r="N665" i="1"/>
  <c r="AP665" i="1" s="1"/>
  <c r="AU665" i="1"/>
  <c r="AT440" i="1"/>
  <c r="AT388" i="1"/>
  <c r="N332" i="1"/>
  <c r="AP332" i="1" s="1"/>
  <c r="AT751" i="1"/>
  <c r="AT740" i="1"/>
  <c r="AT658" i="1"/>
  <c r="AT341" i="1"/>
  <c r="AT664" i="1"/>
  <c r="AT223" i="1"/>
  <c r="AT681" i="1"/>
  <c r="AT498" i="1"/>
  <c r="N702" i="1"/>
  <c r="AP702" i="1" s="1"/>
  <c r="AT224" i="1"/>
  <c r="AT791" i="1"/>
  <c r="AT677" i="1"/>
  <c r="AT319" i="1"/>
  <c r="AT557" i="1"/>
  <c r="AT512" i="1"/>
  <c r="AT773" i="1"/>
  <c r="AT682" i="1"/>
  <c r="AT308" i="1"/>
  <c r="AT244" i="1"/>
  <c r="N776" i="1"/>
  <c r="AP776" i="1" s="1"/>
  <c r="AT279" i="1"/>
  <c r="AT560" i="1"/>
  <c r="N219" i="1"/>
  <c r="AP219" i="1" s="1"/>
  <c r="AT219" i="1"/>
  <c r="AT433" i="1"/>
  <c r="AT329" i="1"/>
  <c r="N757" i="1"/>
  <c r="AP757" i="1" s="1"/>
  <c r="AT439" i="1"/>
  <c r="T179" i="1"/>
  <c r="N179" i="1" s="1"/>
  <c r="AT179" i="1"/>
  <c r="N436" i="1"/>
  <c r="AP436" i="1" s="1"/>
  <c r="AT487" i="1"/>
  <c r="N340" i="1"/>
  <c r="AP340" i="1" s="1"/>
  <c r="N542" i="1"/>
  <c r="AP542" i="1" s="1"/>
  <c r="AT794" i="1"/>
  <c r="T145" i="1"/>
  <c r="N145" i="1" s="1"/>
  <c r="S600" i="1"/>
  <c r="N600" i="1" s="1"/>
  <c r="AP600" i="1" s="1"/>
  <c r="AT678" i="1"/>
  <c r="AT718" i="1"/>
  <c r="AT770" i="1"/>
  <c r="AT573" i="1"/>
  <c r="N636" i="1"/>
  <c r="AP636" i="1" s="1"/>
  <c r="AU636" i="1"/>
  <c r="N409" i="1"/>
  <c r="AP409" i="1" s="1"/>
  <c r="AT787" i="1"/>
  <c r="AT676" i="1"/>
  <c r="S344" i="1"/>
  <c r="N344" i="1" s="1"/>
  <c r="AP344" i="1" s="1"/>
  <c r="AT788" i="1"/>
  <c r="AT672" i="1"/>
  <c r="S673" i="1"/>
  <c r="N673" i="1" s="1"/>
  <c r="AP673" i="1" s="1"/>
  <c r="S609" i="1"/>
  <c r="N609" i="1" s="1"/>
  <c r="AP609" i="1" s="1"/>
  <c r="AT264" i="1"/>
  <c r="AT236" i="1"/>
  <c r="AT501" i="1"/>
  <c r="AT437" i="1"/>
  <c r="AT283" i="1"/>
  <c r="AT241" i="1"/>
  <c r="AT485" i="1"/>
  <c r="N775" i="1"/>
  <c r="AP775" i="1" s="1"/>
  <c r="AT578" i="1"/>
  <c r="AT543" i="1"/>
  <c r="AT480" i="1"/>
  <c r="AT719" i="1"/>
  <c r="AT242" i="1"/>
  <c r="AT714" i="1"/>
  <c r="N745" i="1"/>
  <c r="AP745" i="1" s="1"/>
  <c r="N783" i="1"/>
  <c r="AP783" i="1" s="1"/>
  <c r="AT457" i="1"/>
  <c r="T300" i="1"/>
  <c r="AT299" i="1"/>
  <c r="N459" i="1"/>
  <c r="AP459" i="1" s="1"/>
  <c r="N334" i="1"/>
  <c r="AP334" i="1" s="1"/>
  <c r="N489" i="1"/>
  <c r="AP489" i="1" s="1"/>
  <c r="V473" i="1"/>
  <c r="AT535" i="1"/>
  <c r="AT396" i="1"/>
  <c r="AT789" i="1"/>
  <c r="AT222" i="1"/>
  <c r="AT562" i="1"/>
  <c r="AT551" i="1"/>
  <c r="N176" i="1"/>
  <c r="AT156" i="1"/>
  <c r="N641" i="1"/>
  <c r="AP641" i="1" s="1"/>
  <c r="N461" i="1"/>
  <c r="AP461" i="1" s="1"/>
  <c r="S385" i="1"/>
  <c r="AT747" i="1"/>
  <c r="AT281" i="1"/>
  <c r="AT786" i="1"/>
  <c r="AT669" i="1"/>
  <c r="T64" i="1"/>
  <c r="N64" i="1" s="1"/>
  <c r="AT44" i="1"/>
  <c r="AS325" i="1"/>
  <c r="S325" i="1" s="1"/>
  <c r="AS628" i="1" s="1"/>
  <c r="AT628" i="1" s="1"/>
  <c r="AT671" i="1"/>
  <c r="AT607" i="1"/>
  <c r="AT263" i="1"/>
  <c r="AT553" i="1"/>
  <c r="AT750" i="1"/>
  <c r="AT650" i="1"/>
  <c r="AT237" i="1"/>
  <c r="N94" i="1"/>
  <c r="AT94" i="1"/>
  <c r="T184" i="1"/>
  <c r="N184" i="1" s="1"/>
  <c r="AT755" i="1"/>
  <c r="AT326" i="1"/>
  <c r="AT260" i="1"/>
  <c r="AT540" i="1"/>
  <c r="AT208" i="1"/>
  <c r="AT690" i="1"/>
  <c r="AT547" i="1"/>
  <c r="N711" i="1"/>
  <c r="AP711" i="1" s="1"/>
  <c r="N730" i="1"/>
  <c r="AP730" i="1" s="1"/>
  <c r="N698" i="1"/>
  <c r="AP698" i="1" s="1"/>
  <c r="AT381" i="1"/>
  <c r="N679" i="1"/>
  <c r="AP679" i="1" s="1"/>
  <c r="N685" i="1"/>
  <c r="AP685" i="1" s="1"/>
  <c r="S328" i="1"/>
  <c r="N328" i="1" s="1"/>
  <c r="AP328" i="1" s="1"/>
  <c r="N323" i="1"/>
  <c r="AP323" i="1" s="1"/>
  <c r="N766" i="1"/>
  <c r="AP766" i="1" s="1"/>
  <c r="AP471" i="1"/>
  <c r="U471" i="1"/>
  <c r="V471" i="1"/>
  <c r="AT541" i="1"/>
  <c r="AT625" i="1"/>
  <c r="AT312" i="1"/>
  <c r="AT585" i="1"/>
  <c r="AT626" i="1"/>
  <c r="N78" i="1"/>
  <c r="AT56" i="1"/>
  <c r="N774" i="1"/>
  <c r="AP774" i="1" s="1"/>
  <c r="AT605" i="1"/>
  <c r="AT261" i="1"/>
  <c r="AT548" i="1"/>
  <c r="AT746" i="1"/>
  <c r="AT253" i="1"/>
  <c r="AT546" i="1"/>
  <c r="AS337" i="1"/>
  <c r="S337" i="1" s="1"/>
  <c r="AT101" i="1"/>
  <c r="AT606" i="1"/>
  <c r="AT258" i="1"/>
  <c r="AT538" i="1"/>
  <c r="AT429" i="1"/>
  <c r="AT686" i="1"/>
  <c r="N667" i="1"/>
  <c r="AP667" i="1" s="1"/>
  <c r="N709" i="1"/>
  <c r="AP709" i="1" s="1"/>
  <c r="N579" i="1"/>
  <c r="AP579" i="1" s="1"/>
  <c r="AT687" i="1"/>
  <c r="N476" i="1"/>
  <c r="AP476" i="1" s="1"/>
  <c r="N458" i="1"/>
  <c r="AP458" i="1" s="1"/>
  <c r="AT575" i="1"/>
  <c r="N769" i="1"/>
  <c r="AP769" i="1" s="1"/>
  <c r="AT207" i="1"/>
  <c r="N245" i="1"/>
  <c r="AP245" i="1" s="1"/>
  <c r="N571" i="1"/>
  <c r="AP571" i="1" s="1"/>
  <c r="AU571" i="1"/>
  <c r="AT395" i="1"/>
  <c r="AT500" i="1"/>
  <c r="N777" i="1"/>
  <c r="AP777" i="1" s="1"/>
  <c r="AT749" i="1"/>
  <c r="N712" i="1"/>
  <c r="AP712" i="1" s="1"/>
  <c r="N642" i="1"/>
  <c r="AP642" i="1" s="1"/>
  <c r="AT391" i="1"/>
  <c r="AT467" i="1"/>
  <c r="AT693" i="1"/>
  <c r="AT726" i="1"/>
  <c r="AT753" i="1"/>
  <c r="AT634" i="1"/>
  <c r="AT604" i="1"/>
  <c r="AT259" i="1"/>
  <c r="AT539" i="1"/>
  <c r="T497" i="1"/>
  <c r="N497" i="1" s="1"/>
  <c r="AP497" i="1" s="1"/>
  <c r="AT479" i="1"/>
  <c r="AT744" i="1"/>
  <c r="AT689" i="1"/>
  <c r="AT112" i="1"/>
  <c r="AT552" i="1"/>
  <c r="AT748" i="1"/>
  <c r="AT771" i="1"/>
  <c r="AT398" i="1"/>
  <c r="AT282" i="1"/>
  <c r="AT527" i="1"/>
  <c r="N370" i="1"/>
  <c r="AP370" i="1" s="1"/>
  <c r="N363" i="1"/>
  <c r="AP363" i="1" s="1"/>
  <c r="N412" i="1"/>
  <c r="AP412" i="1" s="1"/>
  <c r="AT694" i="1"/>
  <c r="N695" i="1"/>
  <c r="AP695" i="1" s="1"/>
  <c r="AU695" i="1"/>
  <c r="N533" i="1"/>
  <c r="AP533" i="1" s="1"/>
  <c r="N464" i="1"/>
  <c r="AP464" i="1" s="1"/>
  <c r="T293" i="1"/>
  <c r="AU595" i="1"/>
  <c r="AT640" i="1"/>
  <c r="N356" i="1"/>
  <c r="AP356" i="1" s="1"/>
  <c r="AT622" i="1"/>
  <c r="N305" i="1"/>
  <c r="AP305" i="1" s="1"/>
  <c r="N304" i="1"/>
  <c r="AP304" i="1" s="1"/>
  <c r="S98" i="1"/>
  <c r="T173" i="1"/>
  <c r="N173" i="1" s="1"/>
  <c r="T361" i="1"/>
  <c r="AS359" i="1"/>
  <c r="AS647" i="1" s="1"/>
  <c r="AT647" i="1" s="1"/>
  <c r="T136" i="1"/>
  <c r="N136" i="1" s="1"/>
  <c r="AT497" i="1"/>
  <c r="T275" i="1"/>
  <c r="T169" i="1"/>
  <c r="N169" i="1" s="1"/>
  <c r="T435" i="1"/>
  <c r="T589" i="1"/>
  <c r="T692" i="1"/>
  <c r="S782" i="1"/>
  <c r="S739" i="1"/>
  <c r="S601" i="1"/>
  <c r="N601" i="1" s="1"/>
  <c r="AP601" i="1" s="1"/>
  <c r="S298" i="1"/>
  <c r="N75" i="1"/>
  <c r="T743" i="1"/>
  <c r="T399" i="1"/>
  <c r="P443" i="1"/>
  <c r="AU443" i="1" s="1"/>
  <c r="T463" i="1"/>
  <c r="T438" i="1"/>
  <c r="T310" i="1"/>
  <c r="S138" i="1"/>
  <c r="AT371" i="1"/>
  <c r="T434" i="1"/>
  <c r="T218" i="1"/>
  <c r="S115" i="1"/>
  <c r="S733" i="1"/>
  <c r="S74" i="1"/>
  <c r="AQ257" i="1"/>
  <c r="R257" i="1" s="1"/>
  <c r="AS474" i="1"/>
  <c r="AT474" i="1" s="1"/>
  <c r="T637" i="1"/>
  <c r="S317" i="1"/>
  <c r="T465" i="1"/>
  <c r="U174" i="1"/>
  <c r="V174" i="1"/>
  <c r="T760" i="1"/>
  <c r="S738" i="1"/>
  <c r="T360" i="1"/>
  <c r="N239" i="1"/>
  <c r="AP239" i="1" s="1"/>
  <c r="T428" i="1"/>
  <c r="T444" i="1"/>
  <c r="S734" i="1"/>
  <c r="T154" i="1"/>
  <c r="T311" i="1"/>
  <c r="S352" i="1"/>
  <c r="P767" i="1"/>
  <c r="AU767" i="1" s="1"/>
  <c r="T162" i="1"/>
  <c r="T592" i="1"/>
  <c r="T460" i="1"/>
  <c r="T217" i="1"/>
  <c r="N669" i="1"/>
  <c r="AP669" i="1" s="1"/>
  <c r="N264" i="1"/>
  <c r="AP264" i="1" s="1"/>
  <c r="N551" i="1"/>
  <c r="AP551" i="1" s="1"/>
  <c r="N727" i="1"/>
  <c r="AP727" i="1" s="1"/>
  <c r="N626" i="1"/>
  <c r="AP626" i="1" s="1"/>
  <c r="T666" i="1"/>
  <c r="N753" i="1"/>
  <c r="AP753" i="1" s="1"/>
  <c r="N605" i="1"/>
  <c r="AP605" i="1" s="1"/>
  <c r="N263" i="1"/>
  <c r="AP263" i="1" s="1"/>
  <c r="N553" i="1"/>
  <c r="AP553" i="1" s="1"/>
  <c r="N437" i="1"/>
  <c r="AP437" i="1" s="1"/>
  <c r="N308" i="1"/>
  <c r="AP308" i="1" s="1"/>
  <c r="N244" i="1"/>
  <c r="AP244" i="1" s="1"/>
  <c r="T536" i="1"/>
  <c r="N429" i="1"/>
  <c r="AP429" i="1" s="1"/>
  <c r="N686" i="1"/>
  <c r="AP686" i="1" s="1"/>
  <c r="N694" i="1"/>
  <c r="AP694" i="1" s="1"/>
  <c r="N575" i="1"/>
  <c r="AP575" i="1" s="1"/>
  <c r="N607" i="1"/>
  <c r="AP607" i="1" s="1"/>
  <c r="N312" i="1"/>
  <c r="AP312" i="1" s="1"/>
  <c r="N467" i="1"/>
  <c r="AP467" i="1" s="1"/>
  <c r="N726" i="1"/>
  <c r="AP726" i="1" s="1"/>
  <c r="N751" i="1"/>
  <c r="AP751" i="1" s="1"/>
  <c r="N634" i="1"/>
  <c r="AP634" i="1" s="1"/>
  <c r="N604" i="1"/>
  <c r="AP604" i="1" s="1"/>
  <c r="N261" i="1"/>
  <c r="AP261" i="1" s="1"/>
  <c r="N750" i="1"/>
  <c r="AP750" i="1" s="1"/>
  <c r="N283" i="1"/>
  <c r="AP283" i="1" s="1"/>
  <c r="N241" i="1"/>
  <c r="AP241" i="1" s="1"/>
  <c r="N572" i="1"/>
  <c r="AP572" i="1" s="1"/>
  <c r="N771" i="1"/>
  <c r="AP771" i="1" s="1"/>
  <c r="N398" i="1"/>
  <c r="AP398" i="1" s="1"/>
  <c r="N242" i="1"/>
  <c r="AP242" i="1" s="1"/>
  <c r="P439" i="1"/>
  <c r="N388" i="1"/>
  <c r="AP388" i="1" s="1"/>
  <c r="N269" i="1"/>
  <c r="AP269" i="1" s="1"/>
  <c r="N281" i="1"/>
  <c r="AP281" i="1" s="1"/>
  <c r="N501" i="1"/>
  <c r="AP501" i="1" s="1"/>
  <c r="N573" i="1"/>
  <c r="AP573" i="1" s="1"/>
  <c r="N538" i="1"/>
  <c r="AP538" i="1" s="1"/>
  <c r="N498" i="1"/>
  <c r="AP498" i="1" s="1"/>
  <c r="N737" i="1"/>
  <c r="AP737" i="1" s="1"/>
  <c r="N342" i="1"/>
  <c r="AP342" i="1" s="1"/>
  <c r="N259" i="1"/>
  <c r="AP259" i="1" s="1"/>
  <c r="N539" i="1"/>
  <c r="AP539" i="1" s="1"/>
  <c r="N479" i="1"/>
  <c r="AP479" i="1" s="1"/>
  <c r="N746" i="1"/>
  <c r="AP746" i="1" s="1"/>
  <c r="N650" i="1"/>
  <c r="AP650" i="1" s="1"/>
  <c r="N237" i="1"/>
  <c r="AP237" i="1" s="1"/>
  <c r="N566" i="1"/>
  <c r="AP566" i="1" s="1"/>
  <c r="N754" i="1"/>
  <c r="AP754" i="1" s="1"/>
  <c r="N396" i="1"/>
  <c r="AP396" i="1" s="1"/>
  <c r="N547" i="1"/>
  <c r="P440" i="1"/>
  <c r="N487" i="1"/>
  <c r="N682" i="1"/>
  <c r="AP682" i="1" s="1"/>
  <c r="N658" i="1"/>
  <c r="AP658" i="1" s="1"/>
  <c r="N320" i="1"/>
  <c r="AP320" i="1" s="1"/>
  <c r="N794" i="1"/>
  <c r="AP794" i="1" s="1"/>
  <c r="N792" i="1"/>
  <c r="AP792" i="1" s="1"/>
  <c r="N718" i="1"/>
  <c r="AP718" i="1" s="1"/>
  <c r="N631" i="1"/>
  <c r="AP631" i="1" s="1"/>
  <c r="N535" i="1"/>
  <c r="AP535" i="1" s="1"/>
  <c r="N207" i="1"/>
  <c r="AP207" i="1" s="1"/>
  <c r="N744" i="1"/>
  <c r="AP744" i="1" s="1"/>
  <c r="N689" i="1"/>
  <c r="AP689" i="1" s="1"/>
  <c r="N253" i="1"/>
  <c r="AP253" i="1" s="1"/>
  <c r="N546" i="1"/>
  <c r="N585" i="1"/>
  <c r="AP585" i="1" s="1"/>
  <c r="N562" i="1"/>
  <c r="AP562" i="1" s="1"/>
  <c r="N223" i="1"/>
  <c r="AP223" i="1" s="1"/>
  <c r="N683" i="1"/>
  <c r="AP683" i="1" s="1"/>
  <c r="N341" i="1"/>
  <c r="AP341" i="1" s="1"/>
  <c r="N545" i="1"/>
  <c r="N773" i="1"/>
  <c r="AP773" i="1" s="1"/>
  <c r="N431" i="1"/>
  <c r="AP431" i="1" s="1"/>
  <c r="N789" i="1"/>
  <c r="AP789" i="1" s="1"/>
  <c r="N664" i="1"/>
  <c r="AP664" i="1" s="1"/>
  <c r="N678" i="1"/>
  <c r="AP678" i="1" s="1"/>
  <c r="N677" i="1"/>
  <c r="AP677" i="1" s="1"/>
  <c r="N625" i="1"/>
  <c r="AP625" i="1" s="1"/>
  <c r="N518" i="1"/>
  <c r="AP518" i="1" s="1"/>
  <c r="N478" i="1"/>
  <c r="AP478" i="1" s="1"/>
  <c r="N740" i="1"/>
  <c r="AP740" i="1" s="1"/>
  <c r="N400" i="1"/>
  <c r="AP400" i="1" s="1"/>
  <c r="N112" i="1"/>
  <c r="N552" i="1"/>
  <c r="AP552" i="1" s="1"/>
  <c r="N755" i="1"/>
  <c r="AP755" i="1" s="1"/>
  <c r="N326" i="1"/>
  <c r="AP326" i="1" s="1"/>
  <c r="N560" i="1"/>
  <c r="AP560" i="1" s="1"/>
  <c r="N749" i="1"/>
  <c r="AP749" i="1" s="1"/>
  <c r="N681" i="1"/>
  <c r="AP681" i="1" s="1"/>
  <c r="N282" i="1"/>
  <c r="AP282" i="1" s="1"/>
  <c r="N527" i="1"/>
  <c r="AP527" i="1" s="1"/>
  <c r="N786" i="1"/>
  <c r="AP786" i="1" s="1"/>
  <c r="N690" i="1"/>
  <c r="AP690" i="1" s="1"/>
  <c r="N714" i="1"/>
  <c r="AP714" i="1" s="1"/>
  <c r="N693" i="1"/>
  <c r="AP693" i="1" s="1"/>
  <c r="N787" i="1"/>
  <c r="AP787" i="1" s="1"/>
  <c r="N791" i="1"/>
  <c r="AP791" i="1" s="1"/>
  <c r="N319" i="1"/>
  <c r="AP319" i="1" s="1"/>
  <c r="N222" i="1"/>
  <c r="AP222" i="1" s="1"/>
  <c r="N684" i="1"/>
  <c r="AP684" i="1" s="1"/>
  <c r="N541" i="1"/>
  <c r="AP541" i="1" s="1"/>
  <c r="N525" i="1"/>
  <c r="AP525" i="1" s="1"/>
  <c r="N752" i="1"/>
  <c r="AP752" i="1" s="1"/>
  <c r="N578" i="1"/>
  <c r="AP578" i="1" s="1"/>
  <c r="N543" i="1"/>
  <c r="AP543" i="1" s="1"/>
  <c r="N433" i="1"/>
  <c r="AP433" i="1" s="1"/>
  <c r="N514" i="1"/>
  <c r="AP514" i="1" s="1"/>
  <c r="P457" i="1"/>
  <c r="AU457" i="1" s="1"/>
  <c r="N381" i="1"/>
  <c r="N747" i="1"/>
  <c r="AP747" i="1" s="1"/>
  <c r="N236" i="1"/>
  <c r="AP236" i="1" s="1"/>
  <c r="N500" i="1"/>
  <c r="AP500" i="1" s="1"/>
  <c r="N258" i="1"/>
  <c r="AP258" i="1" s="1"/>
  <c r="N788" i="1"/>
  <c r="AP788" i="1" s="1"/>
  <c r="N671" i="1"/>
  <c r="AP671" i="1" s="1"/>
  <c r="N557" i="1"/>
  <c r="AP557" i="1" s="1"/>
  <c r="N512" i="1"/>
  <c r="N770" i="1"/>
  <c r="AP770" i="1" s="1"/>
  <c r="N395" i="1"/>
  <c r="AP395" i="1" s="1"/>
  <c r="N515" i="1"/>
  <c r="AP515" i="1" s="1"/>
  <c r="N748" i="1"/>
  <c r="AP748" i="1" s="1"/>
  <c r="N606" i="1"/>
  <c r="AP606" i="1" s="1"/>
  <c r="N260" i="1"/>
  <c r="AP260" i="1" s="1"/>
  <c r="N540" i="1"/>
  <c r="AP540" i="1" s="1"/>
  <c r="N480" i="1"/>
  <c r="AP480" i="1" s="1"/>
  <c r="N432" i="1"/>
  <c r="AP432" i="1" s="1"/>
  <c r="N719" i="1"/>
  <c r="AP719" i="1" s="1"/>
  <c r="N387" i="1"/>
  <c r="AP387" i="1" s="1"/>
  <c r="N252" i="1"/>
  <c r="AP252" i="1" s="1"/>
  <c r="N391" i="1"/>
  <c r="AP391" i="1" s="1"/>
  <c r="N22" i="1"/>
  <c r="N36" i="1"/>
  <c r="N158" i="1"/>
  <c r="N160" i="1"/>
  <c r="N150" i="1"/>
  <c r="N71" i="1"/>
  <c r="N131" i="1"/>
  <c r="N482" i="1"/>
  <c r="AP482" i="1" s="1"/>
  <c r="N485" i="1"/>
  <c r="N271" i="1"/>
  <c r="AP271" i="1" s="1"/>
  <c r="S354" i="1"/>
  <c r="AT486" i="1" s="1"/>
  <c r="T687" i="1"/>
  <c r="N291" i="1"/>
  <c r="AP291" i="1" s="1"/>
  <c r="U716" i="1"/>
  <c r="U447" i="1"/>
  <c r="V447" i="1"/>
  <c r="U649" i="1"/>
  <c r="U314" i="1"/>
  <c r="V314" i="1"/>
  <c r="U640" i="1"/>
  <c r="T103" i="1"/>
  <c r="T50" i="1"/>
  <c r="S280" i="1"/>
  <c r="T44" i="1"/>
  <c r="T99" i="1"/>
  <c r="T442" i="1"/>
  <c r="R657" i="1"/>
  <c r="T53" i="1"/>
  <c r="T20" i="1"/>
  <c r="T191" i="1"/>
  <c r="T73" i="1"/>
  <c r="T123" i="1"/>
  <c r="T196" i="1"/>
  <c r="T83" i="1"/>
  <c r="T151" i="1"/>
  <c r="S643" i="1"/>
  <c r="T247" i="1"/>
  <c r="T194" i="1"/>
  <c r="S343" i="1"/>
  <c r="T161" i="1"/>
  <c r="S69" i="1"/>
  <c r="T192" i="1"/>
  <c r="S290" i="1"/>
  <c r="T764" i="1"/>
  <c r="T622" i="1"/>
  <c r="T42" i="1"/>
  <c r="T321" i="1"/>
  <c r="T170" i="1"/>
  <c r="T104" i="1"/>
  <c r="T156" i="1"/>
  <c r="T153" i="1"/>
  <c r="T197" i="1"/>
  <c r="T25" i="1"/>
  <c r="T139" i="1"/>
  <c r="T84" i="1"/>
  <c r="T21" i="1"/>
  <c r="S189" i="1"/>
  <c r="AQ509" i="1"/>
  <c r="R509" i="1" s="1"/>
  <c r="T31" i="1"/>
  <c r="T155" i="1"/>
  <c r="T62" i="1"/>
  <c r="T119" i="1"/>
  <c r="T129" i="1"/>
  <c r="S146" i="1" s="1"/>
  <c r="T63" i="1"/>
  <c r="S183" i="1"/>
  <c r="S296" i="1"/>
  <c r="T85" i="1"/>
  <c r="T32" i="1"/>
  <c r="T87" i="1"/>
  <c r="S120" i="1"/>
  <c r="T157" i="1"/>
  <c r="T30" i="1"/>
  <c r="T90" i="1"/>
  <c r="S193" i="1"/>
  <c r="T172" i="1"/>
  <c r="T59" i="1"/>
  <c r="S81" i="1" s="1"/>
  <c r="T118" i="1"/>
  <c r="S397" i="1"/>
  <c r="T35" i="1"/>
  <c r="T40" i="1"/>
  <c r="T159" i="1"/>
  <c r="T195" i="1"/>
  <c r="T68" i="1"/>
  <c r="T124" i="1"/>
  <c r="T198" i="1"/>
  <c r="T28" i="1"/>
  <c r="T190" i="1"/>
  <c r="S137" i="1"/>
  <c r="T101" i="1"/>
  <c r="T125" i="1"/>
  <c r="T200" i="1"/>
  <c r="T128" i="1"/>
  <c r="T199" i="1"/>
  <c r="T95" i="1"/>
  <c r="S113" i="1"/>
  <c r="T167" i="1"/>
  <c r="T61" i="1"/>
  <c r="T134" i="1"/>
  <c r="T202" i="1"/>
  <c r="T102" i="1"/>
  <c r="T152" i="1"/>
  <c r="S331" i="1"/>
  <c r="AS630" i="1" s="1"/>
  <c r="AT432" i="1"/>
  <c r="AT737" i="1"/>
  <c r="S534" i="1"/>
  <c r="P534" i="1" s="1"/>
  <c r="AU534" i="1" s="1"/>
  <c r="S763" i="1"/>
  <c r="AS441" i="1"/>
  <c r="S441" i="1" s="1"/>
  <c r="AT715" i="1"/>
  <c r="S220" i="1"/>
  <c r="S130" i="1"/>
  <c r="AS657" i="1" s="1"/>
  <c r="S232" i="1"/>
  <c r="S499" i="1"/>
  <c r="AS320" i="1"/>
  <c r="AT320" i="1" s="1"/>
  <c r="S488" i="1"/>
  <c r="S656" i="1"/>
  <c r="S285" i="1"/>
  <c r="AT752" i="1"/>
  <c r="S722" i="1"/>
  <c r="S756" i="1"/>
  <c r="S728" i="1"/>
  <c r="S723" i="1"/>
  <c r="S188" i="1"/>
  <c r="S697" i="1"/>
  <c r="T240" i="1"/>
  <c r="AS545" i="1"/>
  <c r="AT545" i="1" s="1"/>
  <c r="AS255" i="1"/>
  <c r="S330" i="1"/>
  <c r="N676" i="1"/>
  <c r="AP676" i="1" s="1"/>
  <c r="N672" i="1"/>
  <c r="AP672" i="1" s="1"/>
  <c r="S278" i="1"/>
  <c r="N675" i="1"/>
  <c r="AP675" i="1" s="1"/>
  <c r="N620" i="1"/>
  <c r="AP620" i="1" s="1"/>
  <c r="N668" i="1"/>
  <c r="AP668" i="1" s="1"/>
  <c r="S610" i="1"/>
  <c r="S651" i="1"/>
  <c r="N680" i="1"/>
  <c r="AP680" i="1" s="1"/>
  <c r="S608" i="1"/>
  <c r="S635" i="1"/>
  <c r="S793" i="1"/>
  <c r="S91" i="1"/>
  <c r="AS212" i="1"/>
  <c r="AT212" i="1" s="1"/>
  <c r="AQ434" i="1"/>
  <c r="S24" i="1"/>
  <c r="R214" i="1"/>
  <c r="R206" i="1" s="1"/>
  <c r="AQ523" i="1"/>
  <c r="R523" i="1" s="1"/>
  <c r="AP487" i="1" l="1"/>
  <c r="U487" i="1"/>
  <c r="AP547" i="1"/>
  <c r="U547" i="1"/>
  <c r="AP485" i="1"/>
  <c r="U485" i="1"/>
  <c r="AP545" i="1"/>
  <c r="U545" i="1"/>
  <c r="AP512" i="1"/>
  <c r="U512" i="1"/>
  <c r="V512" i="1"/>
  <c r="AP381" i="1"/>
  <c r="U381" i="1"/>
  <c r="AP546" i="1"/>
  <c r="U546" i="1"/>
  <c r="AP230" i="1"/>
  <c r="U230" i="1"/>
  <c r="T633" i="1"/>
  <c r="N633" i="1" s="1"/>
  <c r="AP633" i="1" s="1"/>
  <c r="T297" i="1"/>
  <c r="AT297" i="1"/>
  <c r="N758" i="1"/>
  <c r="AP758" i="1" s="1"/>
  <c r="T670" i="1"/>
  <c r="AT670" i="1"/>
  <c r="N652" i="1"/>
  <c r="V652" i="1" s="1"/>
  <c r="N654" i="1"/>
  <c r="AU654" i="1"/>
  <c r="N645" i="1"/>
  <c r="V645" i="1" s="1"/>
  <c r="N632" i="1"/>
  <c r="AA632" i="1" s="1"/>
  <c r="V26" i="1"/>
  <c r="U26" i="1"/>
  <c r="N628" i="1"/>
  <c r="AP621" i="1"/>
  <c r="U621" i="1"/>
  <c r="V621" i="1"/>
  <c r="N581" i="1"/>
  <c r="AP581" i="1" s="1"/>
  <c r="V446" i="1"/>
  <c r="U446" i="1"/>
  <c r="N469" i="1"/>
  <c r="AP469" i="1" s="1"/>
  <c r="S423" i="1"/>
  <c r="AT469" i="1"/>
  <c r="U593" i="1"/>
  <c r="U567" i="1"/>
  <c r="U489" i="1"/>
  <c r="U542" i="1"/>
  <c r="S306" i="1"/>
  <c r="U556" i="1"/>
  <c r="U233" i="1"/>
  <c r="N537" i="1"/>
  <c r="AP537" i="1" s="1"/>
  <c r="AP158" i="1"/>
  <c r="AP78" i="1"/>
  <c r="AP52" i="1"/>
  <c r="AP36" i="1"/>
  <c r="AP126" i="1"/>
  <c r="AP22" i="1"/>
  <c r="AP75" i="1"/>
  <c r="AP169" i="1"/>
  <c r="AP94" i="1"/>
  <c r="AP112" i="1"/>
  <c r="AP173" i="1"/>
  <c r="AP64" i="1"/>
  <c r="AP176" i="1"/>
  <c r="AP179" i="1"/>
  <c r="AP143" i="1"/>
  <c r="AP131" i="1"/>
  <c r="AP145" i="1"/>
  <c r="AP71" i="1"/>
  <c r="AP160" i="1"/>
  <c r="AP136" i="1"/>
  <c r="AP150" i="1"/>
  <c r="V445" i="1"/>
  <c r="U445" i="1"/>
  <c r="V229" i="1"/>
  <c r="AT729" i="1"/>
  <c r="U243" i="1"/>
  <c r="AT526" i="1"/>
  <c r="AU590" i="1"/>
  <c r="U229" i="1"/>
  <c r="V226" i="1"/>
  <c r="U226" i="1"/>
  <c r="U629" i="1"/>
  <c r="AT524" i="1"/>
  <c r="AT468" i="1"/>
  <c r="AP111" i="1"/>
  <c r="U111" i="1"/>
  <c r="V111" i="1"/>
  <c r="T524" i="1"/>
  <c r="N524" i="1" s="1"/>
  <c r="AP524" i="1" s="1"/>
  <c r="AP761" i="1"/>
  <c r="U761" i="1"/>
  <c r="V761" i="1"/>
  <c r="N526" i="1"/>
  <c r="AS251" i="1"/>
  <c r="AT251" i="1" s="1"/>
  <c r="AT52" i="1"/>
  <c r="T337" i="1"/>
  <c r="AT146" i="1"/>
  <c r="AS407" i="1"/>
  <c r="AT98" i="1"/>
  <c r="AS315" i="1"/>
  <c r="U289" i="1"/>
  <c r="V289" i="1"/>
  <c r="AQ275" i="1"/>
  <c r="AS275" i="1"/>
  <c r="AT275" i="1" s="1"/>
  <c r="U776" i="1"/>
  <c r="U641" i="1"/>
  <c r="U370" i="1"/>
  <c r="U775" i="1"/>
  <c r="U249" i="1"/>
  <c r="V249" i="1"/>
  <c r="U409" i="1"/>
  <c r="U710" i="1"/>
  <c r="U497" i="1"/>
  <c r="U244" i="1"/>
  <c r="U571" i="1"/>
  <c r="U757" i="1"/>
  <c r="U667" i="1"/>
  <c r="U476" i="1"/>
  <c r="V750" i="1"/>
  <c r="U708" i="1"/>
  <c r="V685" i="1"/>
  <c r="U304" i="1"/>
  <c r="U695" i="1"/>
  <c r="U368" i="1"/>
  <c r="U685" i="1"/>
  <c r="U245" i="1"/>
  <c r="U698" i="1"/>
  <c r="V239" i="1"/>
  <c r="U777" i="1"/>
  <c r="U239" i="1"/>
  <c r="U323" i="1"/>
  <c r="U332" i="1"/>
  <c r="V323" i="1"/>
  <c r="N762" i="1"/>
  <c r="AP762" i="1" s="1"/>
  <c r="U459" i="1"/>
  <c r="V332" i="1"/>
  <c r="V459" i="1"/>
  <c r="V497" i="1"/>
  <c r="U347" i="1"/>
  <c r="U461" i="1"/>
  <c r="U533" i="1"/>
  <c r="V461" i="1"/>
  <c r="V347" i="1"/>
  <c r="U766" i="1"/>
  <c r="V334" i="1"/>
  <c r="V356" i="1"/>
  <c r="V458" i="1"/>
  <c r="U458" i="1"/>
  <c r="U730" i="1"/>
  <c r="U356" i="1"/>
  <c r="U709" i="1"/>
  <c r="U740" i="1"/>
  <c r="U646" i="1"/>
  <c r="U783" i="1"/>
  <c r="U579" i="1"/>
  <c r="AT763" i="1"/>
  <c r="AT734" i="1"/>
  <c r="AT738" i="1"/>
  <c r="U143" i="1"/>
  <c r="AT337" i="1"/>
  <c r="AT739" i="1"/>
  <c r="N795" i="1"/>
  <c r="AP795" i="1" s="1"/>
  <c r="U712" i="1"/>
  <c r="U574" i="1"/>
  <c r="U699" i="1"/>
  <c r="V305" i="1"/>
  <c r="V533" i="1"/>
  <c r="AT733" i="1"/>
  <c r="U363" i="1"/>
  <c r="AT780" i="1"/>
  <c r="T325" i="1"/>
  <c r="AT325" i="1"/>
  <c r="AT782" i="1"/>
  <c r="AT296" i="1"/>
  <c r="S257" i="1"/>
  <c r="N257" i="1" s="1"/>
  <c r="AP257" i="1" s="1"/>
  <c r="AT359" i="1"/>
  <c r="V143" i="1"/>
  <c r="AT220" i="1"/>
  <c r="U679" i="1"/>
  <c r="U305" i="1"/>
  <c r="U700" i="1"/>
  <c r="V769" i="1"/>
  <c r="U769" i="1"/>
  <c r="U436" i="1"/>
  <c r="U334" i="1"/>
  <c r="V436" i="1"/>
  <c r="AT793" i="1"/>
  <c r="N692" i="1"/>
  <c r="AT255" i="1"/>
  <c r="T120" i="1"/>
  <c r="N120" i="1" s="1"/>
  <c r="AT120" i="1"/>
  <c r="AT69" i="1"/>
  <c r="N592" i="1"/>
  <c r="AP592" i="1" s="1"/>
  <c r="AU256" i="1"/>
  <c r="AT216" i="1"/>
  <c r="N438" i="1"/>
  <c r="AP438" i="1" s="1"/>
  <c r="AT713" i="1"/>
  <c r="N361" i="1"/>
  <c r="AT722" i="1"/>
  <c r="T115" i="1"/>
  <c r="N115" i="1" s="1"/>
  <c r="AT91" i="1"/>
  <c r="AT728" i="1"/>
  <c r="AT499" i="1"/>
  <c r="AT534" i="1"/>
  <c r="AT731" i="1"/>
  <c r="N81" i="1"/>
  <c r="AT81" i="1"/>
  <c r="N442" i="1"/>
  <c r="AP442" i="1" s="1"/>
  <c r="U774" i="1"/>
  <c r="U711" i="1"/>
  <c r="U702" i="1"/>
  <c r="T385" i="1"/>
  <c r="AT354" i="1"/>
  <c r="U340" i="1"/>
  <c r="U642" i="1"/>
  <c r="V340" i="1"/>
  <c r="N360" i="1"/>
  <c r="AP360" i="1" s="1"/>
  <c r="N463" i="1"/>
  <c r="AP463" i="1" s="1"/>
  <c r="AT344" i="1"/>
  <c r="AT227" i="1"/>
  <c r="T138" i="1"/>
  <c r="AT346" i="1"/>
  <c r="AT335" i="1"/>
  <c r="U591" i="1"/>
  <c r="V766" i="1"/>
  <c r="AT317" i="1"/>
  <c r="T135" i="1"/>
  <c r="N135" i="1" s="1"/>
  <c r="AT115" i="1"/>
  <c r="AT138" i="1"/>
  <c r="N399" i="1"/>
  <c r="AP399" i="1" s="1"/>
  <c r="N589" i="1"/>
  <c r="AP589" i="1" s="1"/>
  <c r="N275" i="1"/>
  <c r="AP275" i="1" s="1"/>
  <c r="AT385" i="1"/>
  <c r="N300" i="1"/>
  <c r="AP300" i="1" s="1"/>
  <c r="N465" i="1"/>
  <c r="AT316" i="1"/>
  <c r="AT635" i="1"/>
  <c r="T24" i="1"/>
  <c r="N24" i="1" s="1"/>
  <c r="AT24" i="1"/>
  <c r="AT608" i="1"/>
  <c r="AT278" i="1"/>
  <c r="AT756" i="1"/>
  <c r="AT285" i="1"/>
  <c r="T130" i="1"/>
  <c r="AT130" i="1"/>
  <c r="T137" i="1"/>
  <c r="N137" i="1" s="1"/>
  <c r="AT137" i="1"/>
  <c r="T193" i="1"/>
  <c r="N193" i="1" s="1"/>
  <c r="AT193" i="1"/>
  <c r="AT343" i="1"/>
  <c r="U412" i="1"/>
  <c r="U532" i="1"/>
  <c r="U665" i="1"/>
  <c r="T371" i="1"/>
  <c r="AU371" i="1"/>
  <c r="N217" i="1"/>
  <c r="AP217" i="1" s="1"/>
  <c r="U52" i="1"/>
  <c r="N444" i="1"/>
  <c r="AP444" i="1" s="1"/>
  <c r="N218" i="1"/>
  <c r="AP218" i="1" s="1"/>
  <c r="T406" i="1"/>
  <c r="AU406" i="1"/>
  <c r="N743" i="1"/>
  <c r="AP743" i="1" s="1"/>
  <c r="N293" i="1"/>
  <c r="AP293" i="1" s="1"/>
  <c r="AT697" i="1"/>
  <c r="AT559" i="1"/>
  <c r="AT113" i="1"/>
  <c r="AT656" i="1"/>
  <c r="AT704" i="1"/>
  <c r="T210" i="1"/>
  <c r="N764" i="1"/>
  <c r="AP764" i="1" s="1"/>
  <c r="AT280" i="1"/>
  <c r="U636" i="1"/>
  <c r="N687" i="1"/>
  <c r="AP687" i="1" s="1"/>
  <c r="V304" i="1"/>
  <c r="T439" i="1"/>
  <c r="AU439" i="1"/>
  <c r="V52" i="1"/>
  <c r="N435" i="1"/>
  <c r="AT609" i="1"/>
  <c r="AT600" i="1"/>
  <c r="AT331" i="1"/>
  <c r="AT651" i="1"/>
  <c r="AT488" i="1"/>
  <c r="AT290" i="1"/>
  <c r="U745" i="1"/>
  <c r="U464" i="1"/>
  <c r="N666" i="1"/>
  <c r="AP666" i="1" s="1"/>
  <c r="V464" i="1"/>
  <c r="N460" i="1"/>
  <c r="AP460" i="1" s="1"/>
  <c r="AP419" i="1"/>
  <c r="N428" i="1"/>
  <c r="AU262" i="1"/>
  <c r="AT298" i="1"/>
  <c r="N590" i="1"/>
  <c r="AP590" i="1" s="1"/>
  <c r="AT328" i="1"/>
  <c r="AT392" i="1"/>
  <c r="AT232" i="1"/>
  <c r="T440" i="1"/>
  <c r="AU440" i="1"/>
  <c r="AT345" i="1"/>
  <c r="N674" i="1"/>
  <c r="AP674" i="1" s="1"/>
  <c r="AT610" i="1"/>
  <c r="AT330" i="1"/>
  <c r="AT723" i="1"/>
  <c r="AT441" i="1"/>
  <c r="AT655" i="1"/>
  <c r="T397" i="1"/>
  <c r="N397" i="1" s="1"/>
  <c r="AP397" i="1" s="1"/>
  <c r="AT397" i="1"/>
  <c r="AT643" i="1"/>
  <c r="N715" i="1"/>
  <c r="AP715" i="1" s="1"/>
  <c r="AU715" i="1"/>
  <c r="AU513" i="1"/>
  <c r="AT352" i="1"/>
  <c r="N760" i="1"/>
  <c r="AP760" i="1" s="1"/>
  <c r="T74" i="1"/>
  <c r="N74" i="1" s="1"/>
  <c r="AT74" i="1"/>
  <c r="N434" i="1"/>
  <c r="U434" i="1" s="1"/>
  <c r="N310" i="1"/>
  <c r="AP310" i="1" s="1"/>
  <c r="AT601" i="1"/>
  <c r="N618" i="1"/>
  <c r="AP618" i="1" s="1"/>
  <c r="AT633" i="1"/>
  <c r="AT673" i="1"/>
  <c r="N311" i="1"/>
  <c r="AP311" i="1" s="1"/>
  <c r="N321" i="1"/>
  <c r="AP321" i="1" s="1"/>
  <c r="U727" i="1"/>
  <c r="U694" i="1"/>
  <c r="AP615" i="1"/>
  <c r="T317" i="1"/>
  <c r="T352" i="1"/>
  <c r="T45" i="1"/>
  <c r="T443" i="1"/>
  <c r="T768" i="1"/>
  <c r="T313" i="1"/>
  <c r="U173" i="1"/>
  <c r="V173" i="1"/>
  <c r="P772" i="1"/>
  <c r="T772" i="1" s="1"/>
  <c r="T163" i="1"/>
  <c r="N163" i="1" s="1"/>
  <c r="P383" i="1"/>
  <c r="T357" i="1"/>
  <c r="T110" i="1"/>
  <c r="N110" i="1" s="1"/>
  <c r="S421" i="1"/>
  <c r="T286" i="1"/>
  <c r="T457" i="1"/>
  <c r="T468" i="1"/>
  <c r="N767" i="1"/>
  <c r="AP767" i="1" s="1"/>
  <c r="T456" i="1"/>
  <c r="T140" i="1"/>
  <c r="N140" i="1" s="1"/>
  <c r="T739" i="1"/>
  <c r="U136" i="1"/>
  <c r="V136" i="1"/>
  <c r="T490" i="1"/>
  <c r="T561" i="1"/>
  <c r="S630" i="1"/>
  <c r="N630" i="1" s="1"/>
  <c r="AP630" i="1" s="1"/>
  <c r="N154" i="1"/>
  <c r="T738" i="1"/>
  <c r="T782" i="1"/>
  <c r="T322" i="1"/>
  <c r="N98" i="1"/>
  <c r="N122" i="1"/>
  <c r="T133" i="1"/>
  <c r="N298" i="1"/>
  <c r="AP298" i="1" s="1"/>
  <c r="T382" i="1"/>
  <c r="T734" i="1"/>
  <c r="N637" i="1"/>
  <c r="AP637" i="1" s="1"/>
  <c r="N780" i="1"/>
  <c r="AP780" i="1" s="1"/>
  <c r="V169" i="1"/>
  <c r="U169" i="1"/>
  <c r="T307" i="1"/>
  <c r="N162" i="1"/>
  <c r="T733" i="1"/>
  <c r="T91" i="1"/>
  <c r="N91" i="1" s="1"/>
  <c r="N146" i="1"/>
  <c r="AS426" i="1"/>
  <c r="S426" i="1" s="1"/>
  <c r="T617" i="1"/>
  <c r="V75" i="1"/>
  <c r="U75" i="1"/>
  <c r="U319" i="1"/>
  <c r="U686" i="1"/>
  <c r="U242" i="1"/>
  <c r="U789" i="1"/>
  <c r="V740" i="1"/>
  <c r="V573" i="1"/>
  <c r="U572" i="1"/>
  <c r="U693" i="1"/>
  <c r="U573" i="1"/>
  <c r="U578" i="1"/>
  <c r="U261" i="1"/>
  <c r="V686" i="1"/>
  <c r="V244" i="1"/>
  <c r="V242" i="1"/>
  <c r="U726" i="1"/>
  <c r="U518" i="1"/>
  <c r="V525" i="1"/>
  <c r="U525" i="1"/>
  <c r="U553" i="1"/>
  <c r="U219" i="1"/>
  <c r="U562" i="1"/>
  <c r="U222" i="1"/>
  <c r="V749" i="1"/>
  <c r="U326" i="1"/>
  <c r="U678" i="1"/>
  <c r="U749" i="1"/>
  <c r="U718" i="1"/>
  <c r="U690" i="1"/>
  <c r="V690" i="1"/>
  <c r="U557" i="1"/>
  <c r="N536" i="1"/>
  <c r="AP536" i="1" s="1"/>
  <c r="U753" i="1"/>
  <c r="U223" i="1"/>
  <c r="U631" i="1"/>
  <c r="U750" i="1"/>
  <c r="U259" i="1"/>
  <c r="U241" i="1"/>
  <c r="V241" i="1"/>
  <c r="U543" i="1"/>
  <c r="V400" i="1"/>
  <c r="V689" i="1"/>
  <c r="U264" i="1"/>
  <c r="U400" i="1"/>
  <c r="U689" i="1"/>
  <c r="U664" i="1"/>
  <c r="U755" i="1"/>
  <c r="U787" i="1"/>
  <c r="U609" i="1"/>
  <c r="U236" i="1"/>
  <c r="U539" i="1"/>
  <c r="V514" i="1"/>
  <c r="U719" i="1"/>
  <c r="V681" i="1"/>
  <c r="U771" i="1"/>
  <c r="V396" i="1"/>
  <c r="U387" i="1"/>
  <c r="U396" i="1"/>
  <c r="V682" i="1"/>
  <c r="U388" i="1"/>
  <c r="U626" i="1"/>
  <c r="U682" i="1"/>
  <c r="V388" i="1"/>
  <c r="U540" i="1"/>
  <c r="V112" i="1"/>
  <c r="U112" i="1"/>
  <c r="V498" i="1"/>
  <c r="V773" i="1"/>
  <c r="U498" i="1"/>
  <c r="U773" i="1"/>
  <c r="U601" i="1"/>
  <c r="V437" i="1"/>
  <c r="U437" i="1"/>
  <c r="U791" i="1"/>
  <c r="U560" i="1"/>
  <c r="V282" i="1"/>
  <c r="U625" i="1"/>
  <c r="V253" i="1"/>
  <c r="U282" i="1"/>
  <c r="U669" i="1"/>
  <c r="U253" i="1"/>
  <c r="U258" i="1"/>
  <c r="U606" i="1"/>
  <c r="U786" i="1"/>
  <c r="U658" i="1"/>
  <c r="V269" i="1"/>
  <c r="U634" i="1"/>
  <c r="U269" i="1"/>
  <c r="V719" i="1"/>
  <c r="U748" i="1"/>
  <c r="V541" i="1"/>
  <c r="U541" i="1"/>
  <c r="U320" i="1"/>
  <c r="V320" i="1"/>
  <c r="U604" i="1"/>
  <c r="U566" i="1"/>
  <c r="V398" i="1"/>
  <c r="U398" i="1"/>
  <c r="U260" i="1"/>
  <c r="V433" i="1"/>
  <c r="V429" i="1"/>
  <c r="V746" i="1"/>
  <c r="U429" i="1"/>
  <c r="U746" i="1"/>
  <c r="V684" i="1"/>
  <c r="V387" i="1"/>
  <c r="V683" i="1"/>
  <c r="V770" i="1"/>
  <c r="U770" i="1"/>
  <c r="U607" i="1"/>
  <c r="V281" i="1"/>
  <c r="U535" i="1"/>
  <c r="U281" i="1"/>
  <c r="U683" i="1"/>
  <c r="V392" i="1"/>
  <c r="U794" i="1"/>
  <c r="U392" i="1"/>
  <c r="U605" i="1"/>
  <c r="V252" i="1"/>
  <c r="U433" i="1"/>
  <c r="U673" i="1"/>
  <c r="U737" i="1"/>
  <c r="U788" i="1"/>
  <c r="U684" i="1"/>
  <c r="V341" i="1"/>
  <c r="U341" i="1"/>
  <c r="U671" i="1"/>
  <c r="U263" i="1"/>
  <c r="U501" i="1"/>
  <c r="V551" i="1"/>
  <c r="U551" i="1"/>
  <c r="U747" i="1"/>
  <c r="U792" i="1"/>
  <c r="U585" i="1"/>
  <c r="V308" i="1"/>
  <c r="U207" i="1"/>
  <c r="U308" i="1"/>
  <c r="U714" i="1"/>
  <c r="V650" i="1"/>
  <c r="U650" i="1"/>
  <c r="U600" i="1"/>
  <c r="V754" i="1"/>
  <c r="U754" i="1"/>
  <c r="U467" i="1"/>
  <c r="U252" i="1"/>
  <c r="V395" i="1"/>
  <c r="U681" i="1"/>
  <c r="U395" i="1"/>
  <c r="U752" i="1"/>
  <c r="U500" i="1"/>
  <c r="U480" i="1"/>
  <c r="V500" i="1"/>
  <c r="V391" i="1"/>
  <c r="U432" i="1"/>
  <c r="V515" i="1"/>
  <c r="U391" i="1"/>
  <c r="V432" i="1"/>
  <c r="U515" i="1"/>
  <c r="U514" i="1"/>
  <c r="T212" i="1"/>
  <c r="N610" i="1"/>
  <c r="AP610" i="1" s="1"/>
  <c r="N330" i="1"/>
  <c r="AP330" i="1" s="1"/>
  <c r="T655" i="1"/>
  <c r="N643" i="1"/>
  <c r="AP643" i="1" s="1"/>
  <c r="N280" i="1"/>
  <c r="AP280" i="1" s="1"/>
  <c r="V771" i="1"/>
  <c r="V527" i="1"/>
  <c r="N331" i="1"/>
  <c r="AP331" i="1" s="1"/>
  <c r="N69" i="1"/>
  <c r="U527" i="1"/>
  <c r="N651" i="1"/>
  <c r="AP651" i="1" s="1"/>
  <c r="N290" i="1"/>
  <c r="AP290" i="1" s="1"/>
  <c r="V283" i="1"/>
  <c r="U342" i="1"/>
  <c r="V744" i="1"/>
  <c r="N354" i="1"/>
  <c r="AP354" i="1" s="1"/>
  <c r="N793" i="1"/>
  <c r="AP793" i="1" s="1"/>
  <c r="T220" i="1"/>
  <c r="U538" i="1"/>
  <c r="U479" i="1"/>
  <c r="V552" i="1"/>
  <c r="U431" i="1"/>
  <c r="U283" i="1"/>
  <c r="U677" i="1"/>
  <c r="U744" i="1"/>
  <c r="V312" i="1"/>
  <c r="U575" i="1"/>
  <c r="V575" i="1"/>
  <c r="N635" i="1"/>
  <c r="AP635" i="1" s="1"/>
  <c r="T704" i="1"/>
  <c r="N704" i="1" s="1"/>
  <c r="U552" i="1"/>
  <c r="V431" i="1"/>
  <c r="U344" i="1"/>
  <c r="U312" i="1"/>
  <c r="N608" i="1"/>
  <c r="AP608" i="1" s="1"/>
  <c r="N278" i="1"/>
  <c r="AP278" i="1" s="1"/>
  <c r="N285" i="1"/>
  <c r="AP285" i="1" s="1"/>
  <c r="P441" i="1"/>
  <c r="AU441" i="1" s="1"/>
  <c r="N343" i="1"/>
  <c r="AP343" i="1" s="1"/>
  <c r="U751" i="1"/>
  <c r="V237" i="1"/>
  <c r="U633" i="1"/>
  <c r="V344" i="1"/>
  <c r="T713" i="1"/>
  <c r="T656" i="1"/>
  <c r="U237" i="1"/>
  <c r="N151" i="1"/>
  <c r="N90" i="1"/>
  <c r="N202" i="1"/>
  <c r="N30" i="1"/>
  <c r="N155" i="1"/>
  <c r="N44" i="1"/>
  <c r="N157" i="1"/>
  <c r="N134" i="1"/>
  <c r="N101" i="1"/>
  <c r="N159" i="1"/>
  <c r="N31" i="1"/>
  <c r="N197" i="1"/>
  <c r="N119" i="1"/>
  <c r="N83" i="1"/>
  <c r="N192" i="1"/>
  <c r="N61" i="1"/>
  <c r="N40" i="1"/>
  <c r="N87" i="1"/>
  <c r="N153" i="1"/>
  <c r="N161" i="1"/>
  <c r="N99" i="1"/>
  <c r="N167" i="1"/>
  <c r="N32" i="1"/>
  <c r="N73" i="1"/>
  <c r="N102" i="1"/>
  <c r="N190" i="1"/>
  <c r="N156" i="1"/>
  <c r="N191" i="1"/>
  <c r="N50" i="1"/>
  <c r="N62" i="1"/>
  <c r="N196" i="1"/>
  <c r="N95" i="1"/>
  <c r="N28" i="1"/>
  <c r="N104" i="1"/>
  <c r="N103" i="1"/>
  <c r="U131" i="1"/>
  <c r="N139" i="1"/>
  <c r="N68" i="1"/>
  <c r="N125" i="1"/>
  <c r="N199" i="1"/>
  <c r="N59" i="1"/>
  <c r="N21" i="1"/>
  <c r="N170" i="1"/>
  <c r="N194" i="1"/>
  <c r="N53" i="1"/>
  <c r="N200" i="1"/>
  <c r="N195" i="1"/>
  <c r="N152" i="1"/>
  <c r="N128" i="1"/>
  <c r="N198" i="1"/>
  <c r="N172" i="1"/>
  <c r="N247" i="1"/>
  <c r="AP247" i="1" s="1"/>
  <c r="N25" i="1"/>
  <c r="N240" i="1"/>
  <c r="AP240" i="1" s="1"/>
  <c r="N124" i="1"/>
  <c r="N129" i="1"/>
  <c r="N84" i="1"/>
  <c r="N42" i="1"/>
  <c r="N20" i="1"/>
  <c r="U482" i="1"/>
  <c r="V328" i="1"/>
  <c r="U328" i="1"/>
  <c r="N211" i="1"/>
  <c r="AP211" i="1" s="1"/>
  <c r="V271" i="1"/>
  <c r="U271" i="1"/>
  <c r="U291" i="1"/>
  <c r="V291" i="1"/>
  <c r="U676" i="1"/>
  <c r="U668" i="1"/>
  <c r="U675" i="1"/>
  <c r="U680" i="1"/>
  <c r="U672" i="1"/>
  <c r="U620" i="1"/>
  <c r="N123" i="1"/>
  <c r="N622" i="1"/>
  <c r="AP622" i="1" s="1"/>
  <c r="T296" i="1"/>
  <c r="T763" i="1"/>
  <c r="T183" i="1"/>
  <c r="S509" i="1"/>
  <c r="T723" i="1"/>
  <c r="N35" i="1"/>
  <c r="N118" i="1"/>
  <c r="T728" i="1"/>
  <c r="T722" i="1"/>
  <c r="T499" i="1"/>
  <c r="T189" i="1"/>
  <c r="T232" i="1"/>
  <c r="T731" i="1"/>
  <c r="N85" i="1"/>
  <c r="N63" i="1"/>
  <c r="T113" i="1"/>
  <c r="T188" i="1"/>
  <c r="S657" i="1"/>
  <c r="T756" i="1"/>
  <c r="T697" i="1"/>
  <c r="T627" i="1"/>
  <c r="S214" i="1"/>
  <c r="S523" i="1"/>
  <c r="K477" i="1"/>
  <c r="L477" i="1"/>
  <c r="M477" i="1"/>
  <c r="O477" i="1"/>
  <c r="O206" i="1" s="1"/>
  <c r="O14" i="1" s="1"/>
  <c r="J477" i="1"/>
  <c r="Z293" i="1"/>
  <c r="AP704" i="1" l="1"/>
  <c r="U704" i="1"/>
  <c r="AP692" i="1"/>
  <c r="U692" i="1"/>
  <c r="V692" i="1"/>
  <c r="AT423" i="1"/>
  <c r="T423" i="1"/>
  <c r="V758" i="1"/>
  <c r="U758" i="1"/>
  <c r="S315" i="1"/>
  <c r="N297" i="1"/>
  <c r="N670" i="1"/>
  <c r="AP670" i="1" s="1"/>
  <c r="AA645" i="1"/>
  <c r="AP652" i="1"/>
  <c r="AA652" i="1"/>
  <c r="AD652" i="1"/>
  <c r="U652" i="1"/>
  <c r="AP645" i="1"/>
  <c r="U645" i="1"/>
  <c r="AD645" i="1"/>
  <c r="AP654" i="1"/>
  <c r="V654" i="1"/>
  <c r="U654" i="1"/>
  <c r="V632" i="1"/>
  <c r="U632" i="1"/>
  <c r="AP632" i="1"/>
  <c r="AD632" i="1"/>
  <c r="V581" i="1"/>
  <c r="AP628" i="1"/>
  <c r="U628" i="1"/>
  <c r="V628" i="1"/>
  <c r="U581" i="1"/>
  <c r="AS705" i="1"/>
  <c r="S705" i="1" s="1"/>
  <c r="U537" i="1"/>
  <c r="N306" i="1"/>
  <c r="AP306" i="1" s="1"/>
  <c r="AT306" i="1"/>
  <c r="AP118" i="1"/>
  <c r="AP59" i="1"/>
  <c r="AP85" i="1"/>
  <c r="AP129" i="1"/>
  <c r="AP152" i="1"/>
  <c r="AP199" i="1"/>
  <c r="AP95" i="1"/>
  <c r="AP73" i="1"/>
  <c r="AP61" i="1"/>
  <c r="AP134" i="1"/>
  <c r="AP193" i="1"/>
  <c r="AP24" i="1"/>
  <c r="AP120" i="1"/>
  <c r="AP102" i="1"/>
  <c r="AP154" i="1"/>
  <c r="AP35" i="1"/>
  <c r="AP123" i="1"/>
  <c r="AP124" i="1"/>
  <c r="AP195" i="1"/>
  <c r="AP125" i="1"/>
  <c r="AP196" i="1"/>
  <c r="AP32" i="1"/>
  <c r="AP192" i="1"/>
  <c r="AP157" i="1"/>
  <c r="AP122" i="1"/>
  <c r="AP128" i="1"/>
  <c r="AP68" i="1"/>
  <c r="AP62" i="1"/>
  <c r="AP167" i="1"/>
  <c r="AP83" i="1"/>
  <c r="AP44" i="1"/>
  <c r="AP98" i="1"/>
  <c r="AP163" i="1"/>
  <c r="AP137" i="1"/>
  <c r="AP81" i="1"/>
  <c r="AP84" i="1"/>
  <c r="AP151" i="1"/>
  <c r="AP110" i="1"/>
  <c r="AP200" i="1"/>
  <c r="AP25" i="1"/>
  <c r="AP53" i="1"/>
  <c r="AP139" i="1"/>
  <c r="AP50" i="1"/>
  <c r="AP99" i="1"/>
  <c r="AP119" i="1"/>
  <c r="AP155" i="1"/>
  <c r="AP69" i="1"/>
  <c r="AP146" i="1"/>
  <c r="AP74" i="1"/>
  <c r="AP63" i="1"/>
  <c r="AP28" i="1"/>
  <c r="AP194" i="1"/>
  <c r="AP191" i="1"/>
  <c r="AP161" i="1"/>
  <c r="AP197" i="1"/>
  <c r="AP30" i="1"/>
  <c r="AP91" i="1"/>
  <c r="AP115" i="1"/>
  <c r="AP101" i="1"/>
  <c r="AP140" i="1"/>
  <c r="AP20" i="1"/>
  <c r="AP172" i="1"/>
  <c r="AP170" i="1"/>
  <c r="AP103" i="1"/>
  <c r="AP156" i="1"/>
  <c r="AP153" i="1"/>
  <c r="AP31" i="1"/>
  <c r="AP202" i="1"/>
  <c r="AP40" i="1"/>
  <c r="AP42" i="1"/>
  <c r="AP198" i="1"/>
  <c r="AP21" i="1"/>
  <c r="AP104" i="1"/>
  <c r="AP190" i="1"/>
  <c r="AP87" i="1"/>
  <c r="AP159" i="1"/>
  <c r="AP90" i="1"/>
  <c r="AP162" i="1"/>
  <c r="AP135" i="1"/>
  <c r="T729" i="1"/>
  <c r="AP526" i="1"/>
  <c r="V526" i="1"/>
  <c r="U526" i="1"/>
  <c r="U469" i="1"/>
  <c r="V469" i="1"/>
  <c r="N337" i="1"/>
  <c r="S407" i="1"/>
  <c r="V298" i="1"/>
  <c r="V275" i="1"/>
  <c r="V762" i="1"/>
  <c r="U762" i="1"/>
  <c r="V257" i="1"/>
  <c r="V438" i="1"/>
  <c r="U360" i="1"/>
  <c r="V444" i="1"/>
  <c r="U444" i="1"/>
  <c r="U524" i="1"/>
  <c r="V524" i="1"/>
  <c r="U310" i="1"/>
  <c r="U465" i="1"/>
  <c r="V310" i="1"/>
  <c r="U217" i="1"/>
  <c r="V217" i="1"/>
  <c r="V360" i="1"/>
  <c r="U438" i="1"/>
  <c r="U760" i="1"/>
  <c r="U743" i="1"/>
  <c r="N130" i="1"/>
  <c r="U257" i="1"/>
  <c r="V760" i="1"/>
  <c r="U463" i="1"/>
  <c r="V743" i="1"/>
  <c r="V463" i="1"/>
  <c r="U666" i="1"/>
  <c r="U275" i="1"/>
  <c r="V764" i="1"/>
  <c r="U589" i="1"/>
  <c r="U764" i="1"/>
  <c r="U419" i="1"/>
  <c r="U618" i="1"/>
  <c r="V419" i="1"/>
  <c r="U311" i="1"/>
  <c r="N406" i="1"/>
  <c r="V465" i="1"/>
  <c r="V311" i="1"/>
  <c r="U399" i="1"/>
  <c r="U795" i="1"/>
  <c r="N440" i="1"/>
  <c r="AP440" i="1" s="1"/>
  <c r="N325" i="1"/>
  <c r="N772" i="1"/>
  <c r="AP772" i="1" s="1"/>
  <c r="N713" i="1"/>
  <c r="AP713" i="1" s="1"/>
  <c r="U293" i="1"/>
  <c r="N756" i="1"/>
  <c r="AP756" i="1" s="1"/>
  <c r="N490" i="1"/>
  <c r="AP490" i="1" s="1"/>
  <c r="N268" i="1"/>
  <c r="AP268" i="1" s="1"/>
  <c r="N763" i="1"/>
  <c r="AP763" i="1" s="1"/>
  <c r="V442" i="1"/>
  <c r="U687" i="1"/>
  <c r="N617" i="1"/>
  <c r="T638" i="1"/>
  <c r="N638" i="1" s="1"/>
  <c r="AP638" i="1" s="1"/>
  <c r="AP434" i="1"/>
  <c r="V434" i="1"/>
  <c r="N513" i="1"/>
  <c r="AP513" i="1" s="1"/>
  <c r="N722" i="1"/>
  <c r="AP722" i="1" s="1"/>
  <c r="N210" i="1"/>
  <c r="AP361" i="1"/>
  <c r="V361" i="1"/>
  <c r="U361" i="1"/>
  <c r="N286" i="1"/>
  <c r="AP286" i="1" s="1"/>
  <c r="AT523" i="1"/>
  <c r="AT509" i="1"/>
  <c r="N627" i="1"/>
  <c r="AP627" i="1" s="1"/>
  <c r="N499" i="1"/>
  <c r="AP499" i="1" s="1"/>
  <c r="AT401" i="1"/>
  <c r="N212" i="1"/>
  <c r="AP212" i="1" s="1"/>
  <c r="N299" i="1"/>
  <c r="AP299" i="1" s="1"/>
  <c r="N307" i="1"/>
  <c r="AP307" i="1" s="1"/>
  <c r="N734" i="1"/>
  <c r="AP734" i="1" s="1"/>
  <c r="N468" i="1"/>
  <c r="AP468" i="1" s="1"/>
  <c r="N383" i="1"/>
  <c r="AU383" i="1"/>
  <c r="N313" i="1"/>
  <c r="AP313" i="1" s="1"/>
  <c r="N352" i="1"/>
  <c r="AP352" i="1" s="1"/>
  <c r="N371" i="1"/>
  <c r="AP371" i="1" s="1"/>
  <c r="N382" i="1"/>
  <c r="AT659" i="1"/>
  <c r="AT657" i="1"/>
  <c r="N728" i="1"/>
  <c r="AP728" i="1" s="1"/>
  <c r="N322" i="1"/>
  <c r="AP322" i="1" s="1"/>
  <c r="N317" i="1"/>
  <c r="AP317" i="1" s="1"/>
  <c r="N768" i="1"/>
  <c r="AP768" i="1" s="1"/>
  <c r="U674" i="1"/>
  <c r="N296" i="1"/>
  <c r="AP296" i="1" s="1"/>
  <c r="N731" i="1"/>
  <c r="AP731" i="1" s="1"/>
  <c r="N723" i="1"/>
  <c r="AP723" i="1" s="1"/>
  <c r="N220" i="1"/>
  <c r="AP220" i="1" s="1"/>
  <c r="N738" i="1"/>
  <c r="AP738" i="1" s="1"/>
  <c r="AT421" i="1"/>
  <c r="N443" i="1"/>
  <c r="AP443" i="1" s="1"/>
  <c r="V218" i="1"/>
  <c r="U460" i="1"/>
  <c r="N262" i="1"/>
  <c r="AP262" i="1" s="1"/>
  <c r="AP435" i="1"/>
  <c r="V435" i="1"/>
  <c r="U435" i="1"/>
  <c r="N138" i="1"/>
  <c r="N385" i="1"/>
  <c r="AP385" i="1" s="1"/>
  <c r="N457" i="1"/>
  <c r="T426" i="1"/>
  <c r="N426" i="1" s="1"/>
  <c r="AT426" i="1"/>
  <c r="N232" i="1"/>
  <c r="AP232" i="1" s="1"/>
  <c r="N655" i="1"/>
  <c r="AP655" i="1" s="1"/>
  <c r="N739" i="1"/>
  <c r="AP739" i="1" s="1"/>
  <c r="N456" i="1"/>
  <c r="AP456" i="1" s="1"/>
  <c r="N359" i="1"/>
  <c r="AP359" i="1" s="1"/>
  <c r="N439" i="1"/>
  <c r="N147" i="1"/>
  <c r="AT147" i="1"/>
  <c r="N561" i="1"/>
  <c r="AP561" i="1" s="1"/>
  <c r="U300" i="1"/>
  <c r="T462" i="1"/>
  <c r="AU772" i="1"/>
  <c r="U218" i="1"/>
  <c r="V399" i="1"/>
  <c r="U590" i="1"/>
  <c r="AT214" i="1"/>
  <c r="U442" i="1"/>
  <c r="V687" i="1"/>
  <c r="N656" i="1"/>
  <c r="AP656" i="1" s="1"/>
  <c r="N255" i="1"/>
  <c r="AP255" i="1" s="1"/>
  <c r="U715" i="1"/>
  <c r="N733" i="1"/>
  <c r="AP733" i="1" s="1"/>
  <c r="N782" i="1"/>
  <c r="AP782" i="1" s="1"/>
  <c r="N362" i="1"/>
  <c r="AP362" i="1" s="1"/>
  <c r="V460" i="1"/>
  <c r="AP428" i="1"/>
  <c r="V428" i="1"/>
  <c r="U428" i="1"/>
  <c r="U592" i="1"/>
  <c r="N357" i="1"/>
  <c r="AP357" i="1" s="1"/>
  <c r="T421" i="1"/>
  <c r="U298" i="1"/>
  <c r="N45" i="1"/>
  <c r="T333" i="1"/>
  <c r="AT630" i="1"/>
  <c r="N133" i="1"/>
  <c r="U767" i="1"/>
  <c r="V767" i="1"/>
  <c r="N60" i="1"/>
  <c r="T82" i="1"/>
  <c r="N82" i="1" s="1"/>
  <c r="S725" i="1"/>
  <c r="U780" i="1"/>
  <c r="V140" i="1"/>
  <c r="U140" i="1"/>
  <c r="AD122" i="1"/>
  <c r="AA122" i="1"/>
  <c r="AS269" i="1"/>
  <c r="AT269" i="1" s="1"/>
  <c r="T441" i="1"/>
  <c r="T765" i="1"/>
  <c r="N164" i="1"/>
  <c r="V154" i="1"/>
  <c r="U154" i="1"/>
  <c r="U637" i="1"/>
  <c r="U163" i="1"/>
  <c r="V163" i="1"/>
  <c r="U536" i="1"/>
  <c r="V330" i="1"/>
  <c r="U330" i="1"/>
  <c r="V354" i="1"/>
  <c r="U630" i="1"/>
  <c r="U635" i="1"/>
  <c r="U610" i="1"/>
  <c r="V343" i="1"/>
  <c r="U343" i="1"/>
  <c r="U331" i="1"/>
  <c r="V331" i="1"/>
  <c r="U285" i="1"/>
  <c r="V285" i="1"/>
  <c r="V643" i="1"/>
  <c r="U643" i="1"/>
  <c r="V290" i="1"/>
  <c r="U290" i="1"/>
  <c r="U793" i="1"/>
  <c r="U608" i="1"/>
  <c r="U280" i="1"/>
  <c r="V280" i="1"/>
  <c r="V278" i="1"/>
  <c r="U278" i="1"/>
  <c r="U651" i="1"/>
  <c r="U354" i="1"/>
  <c r="V651" i="1"/>
  <c r="N401" i="1"/>
  <c r="AP401" i="1" s="1"/>
  <c r="N523" i="1"/>
  <c r="AP523" i="1" s="1"/>
  <c r="N214" i="1"/>
  <c r="AP214" i="1" s="1"/>
  <c r="V69" i="1"/>
  <c r="U69" i="1"/>
  <c r="N188" i="1"/>
  <c r="N113" i="1"/>
  <c r="N183" i="1"/>
  <c r="V211" i="1"/>
  <c r="U211" i="1"/>
  <c r="N509" i="1"/>
  <c r="U622" i="1"/>
  <c r="T657" i="1"/>
  <c r="N189" i="1"/>
  <c r="N697" i="1"/>
  <c r="AP697" i="1" s="1"/>
  <c r="O13" i="1"/>
  <c r="Q13" i="1"/>
  <c r="X293" i="1"/>
  <c r="AP383" i="1" l="1"/>
  <c r="U383" i="1"/>
  <c r="AP617" i="1"/>
  <c r="V617" i="1"/>
  <c r="U617" i="1"/>
  <c r="AP509" i="1"/>
  <c r="U509" i="1"/>
  <c r="V509" i="1"/>
  <c r="AP382" i="1"/>
  <c r="U382" i="1"/>
  <c r="AP297" i="1"/>
  <c r="V297" i="1"/>
  <c r="U297" i="1"/>
  <c r="T315" i="1"/>
  <c r="N315" i="1" s="1"/>
  <c r="AT315" i="1"/>
  <c r="V670" i="1"/>
  <c r="U670" i="1"/>
  <c r="N423" i="1"/>
  <c r="AT705" i="1"/>
  <c r="T705" i="1"/>
  <c r="U306" i="1"/>
  <c r="N729" i="1"/>
  <c r="AP729" i="1" s="1"/>
  <c r="AP82" i="1"/>
  <c r="AP60" i="1"/>
  <c r="AP45" i="1"/>
  <c r="AP130" i="1"/>
  <c r="AP183" i="1"/>
  <c r="AP133" i="1"/>
  <c r="AP189" i="1"/>
  <c r="AP113" i="1"/>
  <c r="AP164" i="1"/>
  <c r="AP147" i="1"/>
  <c r="AP188" i="1"/>
  <c r="AP337" i="1"/>
  <c r="V337" i="1"/>
  <c r="U337" i="1"/>
  <c r="T407" i="1"/>
  <c r="AT407" i="1"/>
  <c r="U359" i="1"/>
  <c r="V772" i="1"/>
  <c r="U490" i="1"/>
  <c r="U734" i="1"/>
  <c r="U362" i="1"/>
  <c r="U772" i="1"/>
  <c r="U723" i="1"/>
  <c r="U722" i="1"/>
  <c r="U655" i="1"/>
  <c r="U713" i="1"/>
  <c r="V317" i="1"/>
  <c r="V440" i="1"/>
  <c r="U782" i="1"/>
  <c r="U738" i="1"/>
  <c r="U212" i="1"/>
  <c r="U627" i="1"/>
  <c r="U440" i="1"/>
  <c r="V212" i="1"/>
  <c r="U317" i="1"/>
  <c r="V313" i="1"/>
  <c r="U313" i="1"/>
  <c r="U739" i="1"/>
  <c r="U322" i="1"/>
  <c r="V359" i="1"/>
  <c r="V763" i="1"/>
  <c r="U255" i="1"/>
  <c r="V307" i="1"/>
  <c r="V322" i="1"/>
  <c r="V255" i="1"/>
  <c r="U307" i="1"/>
  <c r="V357" i="1"/>
  <c r="U731" i="1"/>
  <c r="U561" i="1"/>
  <c r="U357" i="1"/>
  <c r="V443" i="1"/>
  <c r="U763" i="1"/>
  <c r="U728" i="1"/>
  <c r="U756" i="1"/>
  <c r="V362" i="1"/>
  <c r="U443" i="1"/>
  <c r="U733" i="1"/>
  <c r="U656" i="1"/>
  <c r="AP406" i="1"/>
  <c r="V406" i="1"/>
  <c r="U406" i="1"/>
  <c r="U352" i="1"/>
  <c r="U768" i="1"/>
  <c r="U296" i="1"/>
  <c r="V768" i="1"/>
  <c r="AP325" i="1"/>
  <c r="U325" i="1"/>
  <c r="V325" i="1"/>
  <c r="U638" i="1"/>
  <c r="N462" i="1"/>
  <c r="U513" i="1"/>
  <c r="U286" i="1"/>
  <c r="N421" i="1"/>
  <c r="AP457" i="1"/>
  <c r="V457" i="1"/>
  <c r="U457" i="1"/>
  <c r="AP210" i="1"/>
  <c r="U210" i="1"/>
  <c r="V210" i="1"/>
  <c r="U268" i="1"/>
  <c r="N659" i="1"/>
  <c r="AP659" i="1" s="1"/>
  <c r="U232" i="1"/>
  <c r="U456" i="1"/>
  <c r="V468" i="1"/>
  <c r="U262" i="1"/>
  <c r="U299" i="1"/>
  <c r="V456" i="1"/>
  <c r="U468" i="1"/>
  <c r="N333" i="1"/>
  <c r="AP333" i="1" s="1"/>
  <c r="U371" i="1"/>
  <c r="N657" i="1"/>
  <c r="AP657" i="1" s="1"/>
  <c r="U499" i="1"/>
  <c r="U220" i="1"/>
  <c r="N765" i="1"/>
  <c r="AP765" i="1" s="1"/>
  <c r="AT725" i="1"/>
  <c r="AP439" i="1"/>
  <c r="V439" i="1"/>
  <c r="U439" i="1"/>
  <c r="N441" i="1"/>
  <c r="AP441" i="1" s="1"/>
  <c r="V352" i="1"/>
  <c r="AP138" i="1"/>
  <c r="U138" i="1"/>
  <c r="V138" i="1"/>
  <c r="AP426" i="1"/>
  <c r="V426" i="1"/>
  <c r="U426" i="1"/>
  <c r="U60" i="1"/>
  <c r="V60" i="1"/>
  <c r="T725" i="1"/>
  <c r="U214" i="1"/>
  <c r="U401" i="1"/>
  <c r="V401" i="1"/>
  <c r="U523" i="1"/>
  <c r="V523" i="1"/>
  <c r="U697" i="1"/>
  <c r="AP315" i="1" l="1"/>
  <c r="V315" i="1"/>
  <c r="U315" i="1"/>
  <c r="AP423" i="1"/>
  <c r="U423" i="1"/>
  <c r="V423" i="1"/>
  <c r="N705" i="1"/>
  <c r="U705" i="1" s="1"/>
  <c r="U729" i="1"/>
  <c r="N407" i="1"/>
  <c r="AP407" i="1" s="1"/>
  <c r="V765" i="1"/>
  <c r="V333" i="1"/>
  <c r="U333" i="1"/>
  <c r="U657" i="1"/>
  <c r="V441" i="1"/>
  <c r="AP421" i="1"/>
  <c r="V421" i="1"/>
  <c r="U441" i="1"/>
  <c r="U765" i="1"/>
  <c r="U659" i="1"/>
  <c r="AP462" i="1"/>
  <c r="U462" i="1"/>
  <c r="V462" i="1"/>
  <c r="N725" i="1"/>
  <c r="AP725" i="1" s="1"/>
  <c r="U421" i="1"/>
  <c r="AP705" i="1" l="1"/>
  <c r="U407" i="1"/>
  <c r="V407" i="1"/>
  <c r="U725" i="1"/>
  <c r="Y594" i="1"/>
  <c r="AD594" i="1"/>
  <c r="Z296" i="1"/>
  <c r="Z537" i="1"/>
  <c r="M531" i="10"/>
  <c r="E531" i="10" s="1"/>
  <c r="M530" i="10"/>
  <c r="Z522" i="1"/>
  <c r="Z521" i="1"/>
  <c r="Z574" i="1"/>
  <c r="Z571" i="1"/>
  <c r="Y476" i="1"/>
  <c r="AA476" i="1"/>
  <c r="Y467" i="1"/>
  <c r="AD467" i="1"/>
  <c r="Z779" i="1"/>
  <c r="X779" i="1"/>
  <c r="Z782" i="1"/>
  <c r="X782" i="1"/>
  <c r="Z781" i="1"/>
  <c r="X781" i="1"/>
  <c r="Z783" i="1"/>
  <c r="X783" i="1"/>
  <c r="Z780" i="1"/>
  <c r="X780" i="1"/>
  <c r="Y777" i="1"/>
  <c r="AD777" i="1"/>
  <c r="Y776" i="1"/>
  <c r="AD776" i="1"/>
  <c r="Y775" i="1"/>
  <c r="AD775" i="1"/>
  <c r="Y774" i="1"/>
  <c r="AA774" i="1"/>
  <c r="Y753" i="1"/>
  <c r="AA753" i="1"/>
  <c r="Y715" i="1"/>
  <c r="AD715" i="1"/>
  <c r="Y646" i="1"/>
  <c r="AD646" i="1"/>
  <c r="Y642" i="1"/>
  <c r="AD642" i="1"/>
  <c r="Y641" i="1"/>
  <c r="AA641" i="1"/>
  <c r="Y640" i="1"/>
  <c r="AA640" i="1"/>
  <c r="Y638" i="1"/>
  <c r="AA638" i="1"/>
  <c r="Y637" i="1"/>
  <c r="AD637" i="1"/>
  <c r="Y636" i="1"/>
  <c r="AD636" i="1"/>
  <c r="Y635" i="1"/>
  <c r="AD635" i="1"/>
  <c r="Z622" i="1"/>
  <c r="E530" i="10" l="1"/>
  <c r="M486" i="10"/>
  <c r="R599" i="1"/>
  <c r="N221" i="1"/>
  <c r="AP221" i="1" s="1"/>
  <c r="AT221" i="1"/>
  <c r="S598" i="1"/>
  <c r="S508" i="1"/>
  <c r="S516" i="1"/>
  <c r="X296" i="1"/>
  <c r="AA635" i="1"/>
  <c r="AA637" i="1"/>
  <c r="AA642" i="1"/>
  <c r="AA715" i="1"/>
  <c r="AA775" i="1"/>
  <c r="AA467" i="1"/>
  <c r="AA594" i="1"/>
  <c r="X537" i="1"/>
  <c r="X574" i="1"/>
  <c r="X571" i="1"/>
  <c r="AD476" i="1"/>
  <c r="AA776" i="1"/>
  <c r="AA777" i="1"/>
  <c r="AD774" i="1"/>
  <c r="AD753" i="1"/>
  <c r="AA646" i="1"/>
  <c r="AD641" i="1"/>
  <c r="AD640" i="1"/>
  <c r="AD638" i="1"/>
  <c r="AA636" i="1"/>
  <c r="X622" i="1"/>
  <c r="S599" i="1" l="1"/>
  <c r="N599" i="1" s="1"/>
  <c r="AP599" i="1" s="1"/>
  <c r="T522" i="1"/>
  <c r="U221" i="1"/>
  <c r="AU521" i="1"/>
  <c r="S530" i="1"/>
  <c r="AT516" i="1"/>
  <c r="AT508" i="1"/>
  <c r="AT598" i="1"/>
  <c r="N508" i="1"/>
  <c r="AU224" i="1"/>
  <c r="N516" i="1"/>
  <c r="AP516" i="1" s="1"/>
  <c r="N598" i="1"/>
  <c r="AP598" i="1" s="1"/>
  <c r="Y319" i="1"/>
  <c r="AD319" i="1"/>
  <c r="Y620" i="1"/>
  <c r="AA620" i="1"/>
  <c r="Y610" i="1"/>
  <c r="AD610" i="1"/>
  <c r="Y609" i="1"/>
  <c r="AA609" i="1"/>
  <c r="Y608" i="1"/>
  <c r="AD608" i="1"/>
  <c r="AP508" i="1" l="1"/>
  <c r="U508" i="1"/>
  <c r="V508" i="1"/>
  <c r="N522" i="1"/>
  <c r="AP522" i="1" s="1"/>
  <c r="AT599" i="1"/>
  <c r="U599" i="1"/>
  <c r="N521" i="1"/>
  <c r="AP521" i="1" s="1"/>
  <c r="AT531" i="1"/>
  <c r="N531" i="1"/>
  <c r="AP531" i="1" s="1"/>
  <c r="AT530" i="1"/>
  <c r="N530" i="1"/>
  <c r="AP530" i="1" s="1"/>
  <c r="T224" i="1"/>
  <c r="U516" i="1"/>
  <c r="U598" i="1"/>
  <c r="X521" i="1"/>
  <c r="AA608" i="1"/>
  <c r="AA610" i="1"/>
  <c r="AD620" i="1"/>
  <c r="AA319" i="1"/>
  <c r="AD609" i="1"/>
  <c r="U521" i="1" l="1"/>
  <c r="U522" i="1"/>
  <c r="U530" i="1"/>
  <c r="U531" i="1"/>
  <c r="N224" i="1"/>
  <c r="AP224" i="1" s="1"/>
  <c r="X522" i="1"/>
  <c r="Y592" i="1"/>
  <c r="AD592" i="1"/>
  <c r="Y591" i="1"/>
  <c r="AD591" i="1"/>
  <c r="Y586" i="1"/>
  <c r="Y578" i="1"/>
  <c r="AD578" i="1"/>
  <c r="Y264" i="1"/>
  <c r="AA264" i="1"/>
  <c r="Y263" i="1"/>
  <c r="AD263" i="1"/>
  <c r="Y576" i="1"/>
  <c r="U224" i="1" l="1"/>
  <c r="AA592" i="1"/>
  <c r="AD264" i="1"/>
  <c r="AA591" i="1"/>
  <c r="AA578" i="1"/>
  <c r="AA263" i="1"/>
  <c r="Y483" i="1" l="1"/>
  <c r="Y482" i="1"/>
  <c r="AA482" i="1"/>
  <c r="Y478" i="1"/>
  <c r="AD478" i="1"/>
  <c r="B478" i="1"/>
  <c r="B487" i="10"/>
  <c r="B217" i="10" l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88" i="10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B750" i="10" s="1"/>
  <c r="B751" i="10" s="1"/>
  <c r="B752" i="10" s="1"/>
  <c r="B753" i="10" s="1"/>
  <c r="B754" i="10" s="1"/>
  <c r="B755" i="10" s="1"/>
  <c r="B756" i="10" s="1"/>
  <c r="B757" i="10" s="1"/>
  <c r="B758" i="10" s="1"/>
  <c r="B759" i="10" s="1"/>
  <c r="B760" i="10" s="1"/>
  <c r="B761" i="10" s="1"/>
  <c r="B762" i="10" s="1"/>
  <c r="B763" i="10" s="1"/>
  <c r="B764" i="10" s="1"/>
  <c r="B765" i="10" s="1"/>
  <c r="B766" i="10" s="1"/>
  <c r="B767" i="10" s="1"/>
  <c r="B768" i="10" s="1"/>
  <c r="B769" i="10" s="1"/>
  <c r="B770" i="10" s="1"/>
  <c r="B771" i="10" s="1"/>
  <c r="B772" i="10" s="1"/>
  <c r="B773" i="10" s="1"/>
  <c r="B774" i="10" s="1"/>
  <c r="B775" i="10" s="1"/>
  <c r="B776" i="10" s="1"/>
  <c r="B777" i="10" s="1"/>
  <c r="B778" i="10" s="1"/>
  <c r="B779" i="10" s="1"/>
  <c r="B780" i="10" s="1"/>
  <c r="B781" i="10" s="1"/>
  <c r="B782" i="10" s="1"/>
  <c r="B783" i="10" s="1"/>
  <c r="B784" i="10" s="1"/>
  <c r="B785" i="10" s="1"/>
  <c r="B786" i="10" s="1"/>
  <c r="B787" i="10" s="1"/>
  <c r="B788" i="10" s="1"/>
  <c r="B789" i="10" s="1"/>
  <c r="B790" i="10" s="1"/>
  <c r="B791" i="10" s="1"/>
  <c r="B792" i="10" s="1"/>
  <c r="B793" i="10" s="1"/>
  <c r="B794" i="10" s="1"/>
  <c r="B795" i="10" s="1"/>
  <c r="B796" i="10" s="1"/>
  <c r="B797" i="10" s="1"/>
  <c r="B798" i="10" s="1"/>
  <c r="B799" i="10" s="1"/>
  <c r="B800" i="10" s="1"/>
  <c r="B801" i="10" s="1"/>
  <c r="B802" i="10" s="1"/>
  <c r="B803" i="10" s="1"/>
  <c r="B804" i="10" s="1"/>
  <c r="B208" i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9" i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U478" i="1"/>
  <c r="AD482" i="1"/>
  <c r="AA478" i="1"/>
  <c r="S577" i="1" l="1"/>
  <c r="N577" i="1" s="1"/>
  <c r="AP577" i="1" s="1"/>
  <c r="S570" i="1"/>
  <c r="T555" i="1"/>
  <c r="N555" i="1" s="1"/>
  <c r="AP555" i="1" s="1"/>
  <c r="N576" i="1"/>
  <c r="AP576" i="1" s="1"/>
  <c r="AU576" i="1"/>
  <c r="S246" i="1"/>
  <c r="Y651" i="1"/>
  <c r="AD651" i="1"/>
  <c r="Y650" i="1"/>
  <c r="AA650" i="1"/>
  <c r="Y359" i="1"/>
  <c r="AD359" i="1"/>
  <c r="Y357" i="1"/>
  <c r="AA357" i="1"/>
  <c r="Y356" i="1"/>
  <c r="AD356" i="1"/>
  <c r="Y361" i="1"/>
  <c r="AD361" i="1"/>
  <c r="AT577" i="1" l="1"/>
  <c r="AT570" i="1"/>
  <c r="U576" i="1"/>
  <c r="AD576" i="1"/>
  <c r="AA576" i="1"/>
  <c r="N559" i="1"/>
  <c r="AP559" i="1" s="1"/>
  <c r="AU558" i="1"/>
  <c r="N558" i="1"/>
  <c r="AP558" i="1" s="1"/>
  <c r="U577" i="1"/>
  <c r="AT558" i="1"/>
  <c r="U555" i="1"/>
  <c r="N570" i="1"/>
  <c r="AU570" i="1"/>
  <c r="AT246" i="1"/>
  <c r="N246" i="1"/>
  <c r="AP246" i="1" s="1"/>
  <c r="AA361" i="1"/>
  <c r="AA356" i="1"/>
  <c r="AA359" i="1"/>
  <c r="AA651" i="1"/>
  <c r="AD357" i="1"/>
  <c r="AD650" i="1"/>
  <c r="AP570" i="1" l="1"/>
  <c r="U570" i="1"/>
  <c r="U559" i="1"/>
  <c r="U558" i="1"/>
  <c r="U246" i="1"/>
  <c r="E730" i="10"/>
  <c r="T735" i="1" s="1"/>
  <c r="E726" i="10"/>
  <c r="N735" i="1" l="1"/>
  <c r="AT727" i="1"/>
  <c r="T717" i="1"/>
  <c r="S721" i="1"/>
  <c r="Y218" i="1"/>
  <c r="AD218" i="1"/>
  <c r="Y217" i="1"/>
  <c r="AA217" i="1"/>
  <c r="Y347" i="1"/>
  <c r="AD347" i="1"/>
  <c r="Y573" i="1"/>
  <c r="AD573" i="1"/>
  <c r="Y283" i="1"/>
  <c r="AD283" i="1"/>
  <c r="Y282" i="1"/>
  <c r="AD282" i="1"/>
  <c r="Y307" i="1"/>
  <c r="AD307" i="1"/>
  <c r="Y323" i="1"/>
  <c r="AD323" i="1"/>
  <c r="Y340" i="1"/>
  <c r="AD340" i="1"/>
  <c r="V735" i="1" l="1"/>
  <c r="AP735" i="1"/>
  <c r="U735" i="1"/>
  <c r="AT721" i="1"/>
  <c r="N721" i="1"/>
  <c r="AP721" i="1" s="1"/>
  <c r="N717" i="1"/>
  <c r="AP717" i="1" s="1"/>
  <c r="AA218" i="1"/>
  <c r="AA323" i="1"/>
  <c r="AA307" i="1"/>
  <c r="AA282" i="1"/>
  <c r="AA573" i="1"/>
  <c r="AA347" i="1"/>
  <c r="AD217" i="1"/>
  <c r="AA283" i="1"/>
  <c r="AA340" i="1"/>
  <c r="AT732" i="1" l="1"/>
  <c r="T732" i="1"/>
  <c r="V721" i="1"/>
  <c r="U721" i="1"/>
  <c r="U717" i="1"/>
  <c r="V717" i="1"/>
  <c r="Y212" i="1"/>
  <c r="AD212" i="1"/>
  <c r="Y211" i="1"/>
  <c r="AD211" i="1"/>
  <c r="Y210" i="1"/>
  <c r="AD210" i="1"/>
  <c r="Y485" i="1"/>
  <c r="AD485" i="1"/>
  <c r="Y187" i="1"/>
  <c r="Y186" i="1"/>
  <c r="Y185" i="1"/>
  <c r="Y184" i="1"/>
  <c r="Y182" i="1"/>
  <c r="Y181" i="1"/>
  <c r="Y157" i="1"/>
  <c r="Y156" i="1"/>
  <c r="Y155" i="1"/>
  <c r="Y87" i="1"/>
  <c r="Y68" i="1"/>
  <c r="Y67" i="1"/>
  <c r="N732" i="1" l="1"/>
  <c r="AP732" i="1" s="1"/>
  <c r="AA485" i="1"/>
  <c r="AA211" i="1"/>
  <c r="AA210" i="1"/>
  <c r="AA212" i="1"/>
  <c r="U87" i="1"/>
  <c r="U155" i="1"/>
  <c r="U156" i="1"/>
  <c r="U157" i="1"/>
  <c r="U68" i="1"/>
  <c r="U732" i="1" l="1"/>
  <c r="AD182" i="1"/>
  <c r="AA182" i="1"/>
  <c r="AD184" i="1"/>
  <c r="AA184" i="1"/>
  <c r="AD186" i="1"/>
  <c r="AA186" i="1"/>
  <c r="AD87" i="1"/>
  <c r="AA87" i="1"/>
  <c r="AD181" i="1"/>
  <c r="AA181" i="1"/>
  <c r="AD185" i="1"/>
  <c r="AA185" i="1"/>
  <c r="AD187" i="1"/>
  <c r="AA187" i="1"/>
  <c r="AD68" i="1"/>
  <c r="AA68" i="1"/>
  <c r="AD156" i="1" l="1"/>
  <c r="AA156" i="1"/>
  <c r="AA155" i="1"/>
  <c r="AD155" i="1"/>
  <c r="AA157" i="1"/>
  <c r="AD157" i="1"/>
  <c r="Z41" i="1" l="1"/>
  <c r="Z54" i="1"/>
  <c r="Z43" i="1"/>
  <c r="Z33" i="1"/>
  <c r="X33" i="1" l="1"/>
  <c r="X41" i="1"/>
  <c r="U54" i="1"/>
  <c r="V54" i="1"/>
  <c r="X54" i="1"/>
  <c r="U43" i="1"/>
  <c r="V43" i="1"/>
  <c r="X43" i="1"/>
  <c r="V33" i="1"/>
  <c r="U33" i="1"/>
  <c r="Z29" i="1" l="1"/>
  <c r="U29" i="1" l="1"/>
  <c r="V29" i="1"/>
  <c r="X2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28" i="10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A28" i="10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S22" i="10"/>
  <c r="Z762" i="1"/>
  <c r="Z763" i="1"/>
  <c r="Z764" i="1"/>
  <c r="X764" i="1"/>
  <c r="Z442" i="1"/>
  <c r="Z441" i="1"/>
  <c r="Z439" i="1"/>
  <c r="Z750" i="1"/>
  <c r="Z749" i="1"/>
  <c r="Z435" i="1"/>
  <c r="Z433" i="1"/>
  <c r="Z746" i="1"/>
  <c r="Z432" i="1"/>
  <c r="B79" i="1" l="1"/>
  <c r="B80" i="1" s="1"/>
  <c r="B81" i="1" s="1"/>
  <c r="B82" i="1" s="1"/>
  <c r="B83" i="1" s="1"/>
  <c r="B84" i="1" s="1"/>
  <c r="B85" i="1" s="1"/>
  <c r="B86" i="1" s="1"/>
  <c r="B87" i="1" s="1"/>
  <c r="A79" i="1"/>
  <c r="A80" i="1" s="1"/>
  <c r="A81" i="1" s="1"/>
  <c r="A82" i="1" s="1"/>
  <c r="A83" i="1" s="1"/>
  <c r="A84" i="1" s="1"/>
  <c r="A85" i="1" s="1"/>
  <c r="A86" i="1" s="1"/>
  <c r="A87" i="1" s="1"/>
  <c r="A39" i="10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B39" i="10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X762" i="1"/>
  <c r="X763" i="1"/>
  <c r="X432" i="1"/>
  <c r="X441" i="1"/>
  <c r="X442" i="1"/>
  <c r="X746" i="1"/>
  <c r="X435" i="1"/>
  <c r="X439" i="1"/>
  <c r="Z434" i="1"/>
  <c r="Z320" i="1"/>
  <c r="X320" i="1"/>
  <c r="Z269" i="1"/>
  <c r="X269" i="1"/>
  <c r="Z339" i="1"/>
  <c r="Z325" i="1"/>
  <c r="X325" i="1"/>
  <c r="Z257" i="1"/>
  <c r="Z255" i="1"/>
  <c r="X257" i="1"/>
  <c r="X255" i="1"/>
  <c r="Z341" i="1"/>
  <c r="Z295" i="1"/>
  <c r="Z291" i="1"/>
  <c r="X295" i="1"/>
  <c r="Z545" i="1"/>
  <c r="Z525" i="1"/>
  <c r="Z523" i="1"/>
  <c r="X523" i="1"/>
  <c r="Z509" i="1"/>
  <c r="Z752" i="1"/>
  <c r="Z741" i="1"/>
  <c r="Z739" i="1"/>
  <c r="Z738" i="1"/>
  <c r="Z737" i="1"/>
  <c r="Z734" i="1"/>
  <c r="Z733" i="1"/>
  <c r="Z732" i="1"/>
  <c r="Z731" i="1"/>
  <c r="Z729" i="1"/>
  <c r="Z728" i="1"/>
  <c r="Z727" i="1"/>
  <c r="Z725" i="1"/>
  <c r="Z723" i="1"/>
  <c r="Z722" i="1"/>
  <c r="Z720" i="1"/>
  <c r="Z756" i="1"/>
  <c r="Z713" i="1"/>
  <c r="Z705" i="1"/>
  <c r="Z704" i="1"/>
  <c r="Z697" i="1"/>
  <c r="Z666" i="1"/>
  <c r="Z370" i="1"/>
  <c r="Z371" i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7" i="1" s="1"/>
  <c r="B88" i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88" i="10"/>
  <c r="B89" i="10" s="1"/>
  <c r="B90" i="10" s="1"/>
  <c r="B91" i="10" s="1"/>
  <c r="B92" i="10" s="1"/>
  <c r="B93" i="10" s="1"/>
  <c r="B94" i="10" s="1"/>
  <c r="B95" i="10" s="1"/>
  <c r="B96" i="10" s="1"/>
  <c r="A88" i="10"/>
  <c r="A89" i="10" s="1"/>
  <c r="A90" i="10" s="1"/>
  <c r="A91" i="10" s="1"/>
  <c r="A92" i="10" s="1"/>
  <c r="A93" i="10" s="1"/>
  <c r="A94" i="10" s="1"/>
  <c r="A95" i="10" s="1"/>
  <c r="A96" i="10" s="1"/>
  <c r="X434" i="1"/>
  <c r="X341" i="1"/>
  <c r="X291" i="1"/>
  <c r="X545" i="1"/>
  <c r="X509" i="1"/>
  <c r="X741" i="1"/>
  <c r="X733" i="1"/>
  <c r="X734" i="1"/>
  <c r="X737" i="1"/>
  <c r="X739" i="1"/>
  <c r="X723" i="1"/>
  <c r="X725" i="1"/>
  <c r="X705" i="1"/>
  <c r="X704" i="1"/>
  <c r="X370" i="1"/>
  <c r="Z627" i="1"/>
  <c r="Z268" i="1"/>
  <c r="Z131" i="1"/>
  <c r="Z649" i="1"/>
  <c r="Z300" i="1"/>
  <c r="Z659" i="1"/>
  <c r="Z656" i="1"/>
  <c r="Z655" i="1"/>
  <c r="Z630" i="1"/>
  <c r="Z306" i="1"/>
  <c r="Z589" i="1"/>
  <c r="Z585" i="1"/>
  <c r="Z657" i="1"/>
  <c r="X657" i="1"/>
  <c r="Z517" i="1"/>
  <c r="Z559" i="1"/>
  <c r="Z534" i="1"/>
  <c r="Z220" i="1"/>
  <c r="X220" i="1"/>
  <c r="Z499" i="1"/>
  <c r="Z214" i="1"/>
  <c r="X713" i="1"/>
  <c r="X697" i="1"/>
  <c r="A97" i="10" l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B97" i="10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X525" i="1"/>
  <c r="X756" i="1"/>
  <c r="X722" i="1"/>
  <c r="X727" i="1"/>
  <c r="X728" i="1"/>
  <c r="X729" i="1"/>
  <c r="X738" i="1"/>
  <c r="X131" i="1"/>
  <c r="X649" i="1"/>
  <c r="X659" i="1"/>
  <c r="X656" i="1"/>
  <c r="X630" i="1"/>
  <c r="X589" i="1"/>
  <c r="X585" i="1"/>
  <c r="X517" i="1"/>
  <c r="X499" i="1"/>
  <c r="X214" i="1"/>
  <c r="X732" i="1" l="1"/>
  <c r="X371" i="1"/>
  <c r="X731" i="1"/>
  <c r="X666" i="1"/>
  <c r="X750" i="1" l="1"/>
  <c r="X433" i="1" l="1"/>
  <c r="X749" i="1"/>
  <c r="X339" i="1"/>
  <c r="X752" i="1"/>
  <c r="X559" i="1"/>
  <c r="X268" i="1"/>
  <c r="X534" i="1"/>
  <c r="X300" i="1"/>
  <c r="E102" i="10" l="1"/>
  <c r="S93" i="1" s="1"/>
  <c r="T22" i="10"/>
  <c r="T117" i="1" l="1"/>
  <c r="N117" i="1" s="1"/>
  <c r="X720" i="1"/>
  <c r="AP117" i="1" l="1"/>
  <c r="T554" i="1" l="1"/>
  <c r="E57" i="10"/>
  <c r="E56" i="10"/>
  <c r="E55" i="10"/>
  <c r="S65" i="1" l="1"/>
  <c r="R66" i="1"/>
  <c r="S66" i="1" s="1"/>
  <c r="S67" i="1"/>
  <c r="T67" i="1" s="1"/>
  <c r="S88" i="1" s="1"/>
  <c r="AS300" i="1" s="1"/>
  <c r="N554" i="1"/>
  <c r="AP554" i="1" s="1"/>
  <c r="T550" i="1"/>
  <c r="AT66" i="1" l="1"/>
  <c r="T66" i="1"/>
  <c r="N66" i="1" s="1"/>
  <c r="V66" i="1" s="1"/>
  <c r="N88" i="1"/>
  <c r="AT300" i="1"/>
  <c r="AT88" i="1"/>
  <c r="U554" i="1"/>
  <c r="AT67" i="1"/>
  <c r="N67" i="1"/>
  <c r="AT65" i="1"/>
  <c r="N65" i="1"/>
  <c r="AS271" i="1"/>
  <c r="AT271" i="1" s="1"/>
  <c r="N550" i="1"/>
  <c r="AP550" i="1" s="1"/>
  <c r="T47" i="1"/>
  <c r="U66" i="1" l="1"/>
  <c r="AP65" i="1"/>
  <c r="AP88" i="1"/>
  <c r="AP66" i="1"/>
  <c r="AP67" i="1"/>
  <c r="U67" i="1"/>
  <c r="AA67" i="1"/>
  <c r="AD67" i="1"/>
  <c r="N47" i="1"/>
  <c r="U550" i="1"/>
  <c r="T534" i="1"/>
  <c r="E528" i="10"/>
  <c r="T256" i="1" s="1"/>
  <c r="AP47" i="1" l="1"/>
  <c r="N534" i="1"/>
  <c r="AP534" i="1" s="1"/>
  <c r="N256" i="1"/>
  <c r="E36" i="10"/>
  <c r="E26" i="10" s="1"/>
  <c r="S519" i="1"/>
  <c r="S529" i="1"/>
  <c r="S46" i="1" l="1"/>
  <c r="AP256" i="1"/>
  <c r="U256" i="1"/>
  <c r="V256" i="1"/>
  <c r="U534" i="1"/>
  <c r="AT519" i="1"/>
  <c r="AT529" i="1"/>
  <c r="N529" i="1"/>
  <c r="AP529" i="1" s="1"/>
  <c r="N519" i="1"/>
  <c r="AP519" i="1" s="1"/>
  <c r="S27" i="1"/>
  <c r="AT27" i="1" l="1"/>
  <c r="AT46" i="1"/>
  <c r="T46" i="1"/>
  <c r="N46" i="1" s="1"/>
  <c r="AT536" i="1"/>
  <c r="T48" i="1"/>
  <c r="N48" i="1" s="1"/>
  <c r="U529" i="1"/>
  <c r="U519" i="1"/>
  <c r="V519" i="1"/>
  <c r="T27" i="1"/>
  <c r="AP46" i="1" l="1"/>
  <c r="AP48" i="1"/>
  <c r="AQ211" i="1"/>
  <c r="N27" i="1"/>
  <c r="X627" i="1"/>
  <c r="AP27" i="1" l="1"/>
  <c r="T39" i="1"/>
  <c r="N39" i="1" l="1"/>
  <c r="Z757" i="1"/>
  <c r="AP39" i="1" l="1"/>
  <c r="X757" i="1"/>
  <c r="X655" i="1"/>
  <c r="Z795" i="1" l="1"/>
  <c r="Z202" i="1"/>
  <c r="Z200" i="1"/>
  <c r="Z199" i="1"/>
  <c r="Z195" i="1"/>
  <c r="Z466" i="1"/>
  <c r="Z463" i="1"/>
  <c r="Z461" i="1"/>
  <c r="Z458" i="1"/>
  <c r="Z177" i="1"/>
  <c r="Z446" i="1"/>
  <c r="Z771" i="1"/>
  <c r="Z445" i="1"/>
  <c r="Z769" i="1"/>
  <c r="Z760" i="1"/>
  <c r="Z444" i="1"/>
  <c r="Z443" i="1"/>
  <c r="Z440" i="1"/>
  <c r="Z754" i="1"/>
  <c r="Z751" i="1"/>
  <c r="Z748" i="1"/>
  <c r="Z162" i="1"/>
  <c r="Z740" i="1"/>
  <c r="Z429" i="1"/>
  <c r="Z428" i="1"/>
  <c r="Z735" i="1"/>
  <c r="Z730" i="1"/>
  <c r="Z721" i="1"/>
  <c r="Z719" i="1"/>
  <c r="Z718" i="1"/>
  <c r="Z717" i="1"/>
  <c r="Z711" i="1"/>
  <c r="Z710" i="1"/>
  <c r="Z709" i="1"/>
  <c r="Z708" i="1"/>
  <c r="Z412" i="1"/>
  <c r="Z409" i="1"/>
  <c r="Z146" i="1"/>
  <c r="Z397" i="1"/>
  <c r="Z386" i="1"/>
  <c r="Z383" i="1"/>
  <c r="Z382" i="1"/>
  <c r="Z134" i="1"/>
  <c r="Z125" i="1"/>
  <c r="Z124" i="1"/>
  <c r="Z119" i="1"/>
  <c r="Z633" i="1"/>
  <c r="Z112" i="1"/>
  <c r="Z333" i="1"/>
  <c r="Z332" i="1"/>
  <c r="Z105" i="1"/>
  <c r="Z104" i="1"/>
  <c r="Z100" i="1"/>
  <c r="Z99" i="1"/>
  <c r="Z98" i="1"/>
  <c r="Z604" i="1"/>
  <c r="Z90" i="1"/>
  <c r="Z89" i="1"/>
  <c r="Z595" i="1"/>
  <c r="Z71" i="1"/>
  <c r="Z70" i="1"/>
  <c r="Z69" i="1"/>
  <c r="Z579" i="1"/>
  <c r="Z572" i="1"/>
  <c r="Z566" i="1"/>
  <c r="Z51" i="1"/>
  <c r="Z252" i="1"/>
  <c r="Z48" i="1"/>
  <c r="Z47" i="1"/>
  <c r="Z46" i="1"/>
  <c r="Z552" i="1"/>
  <c r="Z551" i="1"/>
  <c r="Z541" i="1"/>
  <c r="Z45" i="1"/>
  <c r="Z533" i="1"/>
  <c r="Z34" i="1"/>
  <c r="Z519" i="1"/>
  <c r="Z224" i="1"/>
  <c r="Z28" i="1"/>
  <c r="Z27" i="1"/>
  <c r="Z490" i="1"/>
  <c r="Z489" i="1"/>
  <c r="Z25" i="1"/>
  <c r="Z213" i="1"/>
  <c r="Z250" i="1"/>
  <c r="Z249" i="1"/>
  <c r="Z197" i="1"/>
  <c r="Z196" i="1"/>
  <c r="Z201" i="1"/>
  <c r="Z193" i="1"/>
  <c r="Z190" i="1"/>
  <c r="Z188" i="1"/>
  <c r="Z180" i="1"/>
  <c r="Z465" i="1"/>
  <c r="Z460" i="1"/>
  <c r="Z464" i="1"/>
  <c r="Z179" i="1"/>
  <c r="Z457" i="1"/>
  <c r="Z456" i="1"/>
  <c r="Z176" i="1"/>
  <c r="Z447" i="1"/>
  <c r="Z773" i="1"/>
  <c r="Z772" i="1"/>
  <c r="Z766" i="1"/>
  <c r="Z172" i="1"/>
  <c r="Z170" i="1"/>
  <c r="Z755" i="1"/>
  <c r="Z166" i="1"/>
  <c r="Z743" i="1"/>
  <c r="Z160" i="1"/>
  <c r="Z430" i="1"/>
  <c r="Z158" i="1"/>
  <c r="Z426" i="1"/>
  <c r="Z706" i="1"/>
  <c r="Z152" i="1"/>
  <c r="Z151" i="1"/>
  <c r="Z702" i="1"/>
  <c r="Z700" i="1"/>
  <c r="Z699" i="1"/>
  <c r="Z698" i="1"/>
  <c r="Z150" i="1"/>
  <c r="Z696" i="1"/>
  <c r="Z695" i="1"/>
  <c r="Z694" i="1"/>
  <c r="Z690" i="1"/>
  <c r="Z400" i="1"/>
  <c r="Z399" i="1"/>
  <c r="Z687" i="1"/>
  <c r="Z686" i="1"/>
  <c r="Z685" i="1"/>
  <c r="Z398" i="1"/>
  <c r="Z684" i="1"/>
  <c r="Z396" i="1"/>
  <c r="Z395" i="1"/>
  <c r="Z683" i="1"/>
  <c r="Z682" i="1"/>
  <c r="Z385" i="1"/>
  <c r="Z680" i="1"/>
  <c r="Z679" i="1"/>
  <c r="Z678" i="1"/>
  <c r="Z381" i="1"/>
  <c r="Z132" i="1"/>
  <c r="Z363" i="1"/>
  <c r="Z362" i="1"/>
  <c r="Z658" i="1"/>
  <c r="Z368" i="1"/>
  <c r="Z123" i="1"/>
  <c r="Z121" i="1"/>
  <c r="Z344" i="1"/>
  <c r="Z634" i="1"/>
  <c r="Z118" i="1"/>
  <c r="Z116" i="1"/>
  <c r="Z115" i="1"/>
  <c r="Z114" i="1"/>
  <c r="Z113" i="1"/>
  <c r="Z631" i="1"/>
  <c r="Z109" i="1"/>
  <c r="Z334" i="1"/>
  <c r="Z108" i="1"/>
  <c r="Z629" i="1"/>
  <c r="Z326" i="1"/>
  <c r="Z107" i="1"/>
  <c r="Z626" i="1"/>
  <c r="Z625" i="1"/>
  <c r="Z103" i="1"/>
  <c r="Z102" i="1"/>
  <c r="Z101" i="1"/>
  <c r="Z321" i="1"/>
  <c r="Z619" i="1"/>
  <c r="Z617" i="1"/>
  <c r="Z316" i="1"/>
  <c r="Z314" i="1"/>
  <c r="Z96" i="1"/>
  <c r="Z312" i="1"/>
  <c r="Z311" i="1"/>
  <c r="Z606" i="1"/>
  <c r="Z605" i="1"/>
  <c r="Z93" i="1"/>
  <c r="Z92" i="1"/>
  <c r="Z91" i="1"/>
  <c r="Z601" i="1"/>
  <c r="Z600" i="1"/>
  <c r="Z599" i="1"/>
  <c r="Z88" i="1"/>
  <c r="Z298" i="1"/>
  <c r="Z86" i="1"/>
  <c r="Z85" i="1"/>
  <c r="Z294" i="1"/>
  <c r="Z84" i="1"/>
  <c r="Z83" i="1"/>
  <c r="Z82" i="1"/>
  <c r="Z81" i="1"/>
  <c r="Z80" i="1"/>
  <c r="Z292" i="1"/>
  <c r="Z78" i="1"/>
  <c r="Z286" i="1"/>
  <c r="Z277" i="1"/>
  <c r="Z73" i="1"/>
  <c r="Z258" i="1"/>
  <c r="Z61" i="1"/>
  <c r="Z65" i="1"/>
  <c r="Z64" i="1"/>
  <c r="Z59" i="1"/>
  <c r="Z57" i="1"/>
  <c r="Z56" i="1"/>
  <c r="Z55" i="1"/>
  <c r="Z575" i="1"/>
  <c r="Z247" i="1"/>
  <c r="Z53" i="1"/>
  <c r="Z246" i="1"/>
  <c r="Z240" i="1"/>
  <c r="Z245" i="1"/>
  <c r="Z244" i="1"/>
  <c r="Z243" i="1"/>
  <c r="Z242" i="1"/>
  <c r="Z241" i="1"/>
  <c r="Z239" i="1"/>
  <c r="Z561" i="1"/>
  <c r="Z237" i="1"/>
  <c r="Z236" i="1"/>
  <c r="Z555" i="1"/>
  <c r="Z554" i="1"/>
  <c r="Z233" i="1"/>
  <c r="Z553" i="1"/>
  <c r="Z550" i="1"/>
  <c r="Z547" i="1"/>
  <c r="Z546" i="1"/>
  <c r="Z50" i="1"/>
  <c r="Z230" i="1"/>
  <c r="Z530" i="1"/>
  <c r="Z529" i="1"/>
  <c r="Z528" i="1"/>
  <c r="Z527" i="1"/>
  <c r="Z227" i="1"/>
  <c r="Z40" i="1"/>
  <c r="Z39" i="1"/>
  <c r="Z38" i="1"/>
  <c r="Z37" i="1"/>
  <c r="Z36" i="1"/>
  <c r="Z35" i="1"/>
  <c r="Z518" i="1"/>
  <c r="Z222" i="1"/>
  <c r="Z221" i="1"/>
  <c r="Z32" i="1"/>
  <c r="Z513" i="1"/>
  <c r="Z512" i="1"/>
  <c r="Z31" i="1"/>
  <c r="Z30" i="1"/>
  <c r="Z502" i="1"/>
  <c r="Z488" i="1"/>
  <c r="Z23" i="1"/>
  <c r="Z22" i="1"/>
  <c r="Z21" i="1"/>
  <c r="Z198" i="1"/>
  <c r="Z794" i="1"/>
  <c r="Z792" i="1"/>
  <c r="Z791" i="1"/>
  <c r="Z194" i="1"/>
  <c r="Z788" i="1"/>
  <c r="Z787" i="1"/>
  <c r="Z786" i="1"/>
  <c r="Z192" i="1"/>
  <c r="Z191" i="1"/>
  <c r="Z189" i="1"/>
  <c r="Z183" i="1"/>
  <c r="Z770" i="1"/>
  <c r="Z765" i="1"/>
  <c r="Z167" i="1"/>
  <c r="Z747" i="1"/>
  <c r="Z165" i="1"/>
  <c r="Z436" i="1"/>
  <c r="Z164" i="1"/>
  <c r="Z745" i="1"/>
  <c r="Z431" i="1"/>
  <c r="Z716" i="1"/>
  <c r="Z712" i="1"/>
  <c r="Z153" i="1"/>
  <c r="Z147" i="1"/>
  <c r="Z145" i="1"/>
  <c r="Z689" i="1"/>
  <c r="Z401" i="1"/>
  <c r="Z681" i="1"/>
  <c r="Z677" i="1"/>
  <c r="Z676" i="1"/>
  <c r="Z675" i="1"/>
  <c r="Z674" i="1"/>
  <c r="Z392" i="1"/>
  <c r="Z391" i="1"/>
  <c r="Z390" i="1"/>
  <c r="Z389" i="1"/>
  <c r="Z388" i="1"/>
  <c r="Z387" i="1"/>
  <c r="Z673" i="1"/>
  <c r="Z672" i="1"/>
  <c r="Z671" i="1"/>
  <c r="Z669" i="1"/>
  <c r="Z668" i="1"/>
  <c r="Z667" i="1"/>
  <c r="Z139" i="1"/>
  <c r="Z665" i="1"/>
  <c r="Z664" i="1"/>
  <c r="Z135" i="1"/>
  <c r="Z660" i="1"/>
  <c r="Z133" i="1"/>
  <c r="Z129" i="1"/>
  <c r="Z128" i="1"/>
  <c r="Z126" i="1"/>
  <c r="Z648" i="1"/>
  <c r="Z643" i="1"/>
  <c r="Z346" i="1"/>
  <c r="Z120" i="1"/>
  <c r="Z343" i="1"/>
  <c r="Z342" i="1"/>
  <c r="Z117" i="1"/>
  <c r="Z336" i="1"/>
  <c r="Z335" i="1"/>
  <c r="Z110" i="1"/>
  <c r="Z331" i="1"/>
  <c r="Z330" i="1"/>
  <c r="Z329" i="1"/>
  <c r="Z328" i="1"/>
  <c r="Z615" i="1"/>
  <c r="Z313" i="1"/>
  <c r="Z308" i="1"/>
  <c r="Z95" i="1"/>
  <c r="Z94" i="1"/>
  <c r="Z302" i="1"/>
  <c r="Z290" i="1"/>
  <c r="Z593" i="1"/>
  <c r="Z77" i="1"/>
  <c r="Z285" i="1"/>
  <c r="Z281" i="1"/>
  <c r="Z584" i="1"/>
  <c r="Z280" i="1"/>
  <c r="Z278" i="1"/>
  <c r="Z261" i="1"/>
  <c r="Z260" i="1"/>
  <c r="Z259" i="1"/>
  <c r="Z63" i="1"/>
  <c r="Z62" i="1"/>
  <c r="Z253" i="1"/>
  <c r="Z567" i="1"/>
  <c r="Z562" i="1"/>
  <c r="Z560" i="1"/>
  <c r="Z558" i="1"/>
  <c r="Z557" i="1"/>
  <c r="Z556" i="1"/>
  <c r="Z548" i="1"/>
  <c r="Z543" i="1"/>
  <c r="Z542" i="1"/>
  <c r="Z540" i="1"/>
  <c r="Z539" i="1"/>
  <c r="Z538" i="1"/>
  <c r="Z44" i="1"/>
  <c r="Z535" i="1"/>
  <c r="Z42" i="1"/>
  <c r="Z531" i="1"/>
  <c r="Z520" i="1"/>
  <c r="Z223" i="1"/>
  <c r="Z515" i="1"/>
  <c r="Z514" i="1"/>
  <c r="Z219" i="1"/>
  <c r="Z501" i="1"/>
  <c r="Z500" i="1"/>
  <c r="Z498" i="1"/>
  <c r="Z487" i="1"/>
  <c r="Z24" i="1"/>
  <c r="Z20" i="1"/>
  <c r="Z19" i="1"/>
  <c r="Z18" i="1"/>
  <c r="Z793" i="1"/>
  <c r="Z789" i="1"/>
  <c r="Z462" i="1"/>
  <c r="Z459" i="1"/>
  <c r="Z437" i="1"/>
  <c r="Z744" i="1"/>
  <c r="Z161" i="1"/>
  <c r="Z159" i="1"/>
  <c r="Z693" i="1"/>
  <c r="Z137" i="1"/>
  <c r="Z130" i="1"/>
  <c r="Z354" i="1"/>
  <c r="Z618" i="1"/>
  <c r="Z299" i="1"/>
  <c r="Z590" i="1"/>
  <c r="Z279" i="1"/>
  <c r="Z583" i="1"/>
  <c r="Z272" i="1"/>
  <c r="Z262" i="1"/>
  <c r="Z577" i="1"/>
  <c r="Z570" i="1"/>
  <c r="Z232" i="1"/>
  <c r="Z536" i="1"/>
  <c r="Z480" i="1"/>
  <c r="Z479" i="1"/>
  <c r="Z208" i="1"/>
  <c r="Z207" i="1"/>
  <c r="Z149" i="1"/>
  <c r="Z148" i="1"/>
  <c r="Z72" i="1"/>
  <c r="Z74" i="1"/>
  <c r="AL14" i="1" l="1"/>
  <c r="AJ14" i="1"/>
  <c r="AH14" i="1"/>
  <c r="AD14" i="1"/>
  <c r="AB14" i="1"/>
  <c r="AK14" i="1"/>
  <c r="AI14" i="1"/>
  <c r="AG14" i="1"/>
  <c r="AE14" i="1"/>
  <c r="AC14" i="1"/>
  <c r="AA14" i="1"/>
  <c r="AF14" i="1"/>
  <c r="AO14" i="1" l="1"/>
  <c r="AM14" i="1"/>
  <c r="AN14" i="1" l="1"/>
  <c r="Z14" i="1"/>
  <c r="X72" i="1" l="1"/>
  <c r="Y14" i="1" l="1"/>
  <c r="X207" i="1" l="1"/>
  <c r="X479" i="1"/>
  <c r="X480" i="1"/>
  <c r="X536" i="1"/>
  <c r="X232" i="1"/>
  <c r="X570" i="1"/>
  <c r="X577" i="1"/>
  <c r="X272" i="1"/>
  <c r="X583" i="1"/>
  <c r="X279" i="1"/>
  <c r="X590" i="1"/>
  <c r="X618" i="1"/>
  <c r="X354" i="1"/>
  <c r="X130" i="1"/>
  <c r="X137" i="1"/>
  <c r="X693" i="1"/>
  <c r="X159" i="1"/>
  <c r="X161" i="1"/>
  <c r="X744" i="1"/>
  <c r="X437" i="1"/>
  <c r="X459" i="1"/>
  <c r="X462" i="1"/>
  <c r="X789" i="1"/>
  <c r="X793" i="1"/>
  <c r="X19" i="1"/>
  <c r="X24" i="1"/>
  <c r="X487" i="1"/>
  <c r="X498" i="1"/>
  <c r="X500" i="1"/>
  <c r="X501" i="1"/>
  <c r="X219" i="1"/>
  <c r="X514" i="1"/>
  <c r="X515" i="1"/>
  <c r="X223" i="1"/>
  <c r="X531" i="1"/>
  <c r="X535" i="1"/>
  <c r="X44" i="1"/>
  <c r="X539" i="1"/>
  <c r="X540" i="1"/>
  <c r="X542" i="1"/>
  <c r="X543" i="1"/>
  <c r="X548" i="1"/>
  <c r="X556" i="1"/>
  <c r="X557" i="1"/>
  <c r="X558" i="1"/>
  <c r="X560" i="1"/>
  <c r="X562" i="1"/>
  <c r="X567" i="1"/>
  <c r="X253" i="1"/>
  <c r="X62" i="1"/>
  <c r="X63" i="1"/>
  <c r="X259" i="1"/>
  <c r="X260" i="1"/>
  <c r="X261" i="1"/>
  <c r="X278" i="1"/>
  <c r="X280" i="1"/>
  <c r="X584" i="1"/>
  <c r="X281" i="1"/>
  <c r="X285" i="1"/>
  <c r="X77" i="1"/>
  <c r="X593" i="1"/>
  <c r="X290" i="1"/>
  <c r="X302" i="1"/>
  <c r="X313" i="1"/>
  <c r="X328" i="1"/>
  <c r="X329" i="1"/>
  <c r="X331" i="1"/>
  <c r="X110" i="1"/>
  <c r="X117" i="1"/>
  <c r="X342" i="1"/>
  <c r="X343" i="1"/>
  <c r="X120" i="1"/>
  <c r="X346" i="1"/>
  <c r="X643" i="1"/>
  <c r="X648" i="1"/>
  <c r="X126" i="1"/>
  <c r="X128" i="1"/>
  <c r="X129" i="1"/>
  <c r="X133" i="1"/>
  <c r="X660" i="1"/>
  <c r="X135" i="1"/>
  <c r="X664" i="1"/>
  <c r="X665" i="1"/>
  <c r="X139" i="1"/>
  <c r="X667" i="1"/>
  <c r="X668" i="1"/>
  <c r="X669" i="1"/>
  <c r="X672" i="1"/>
  <c r="X387" i="1"/>
  <c r="X388" i="1"/>
  <c r="X389" i="1"/>
  <c r="X390" i="1"/>
  <c r="X391" i="1"/>
  <c r="X392" i="1"/>
  <c r="X674" i="1"/>
  <c r="X675" i="1"/>
  <c r="X676" i="1"/>
  <c r="X681" i="1"/>
  <c r="X145" i="1"/>
  <c r="X147" i="1"/>
  <c r="X153" i="1"/>
  <c r="X712" i="1"/>
  <c r="X716" i="1"/>
  <c r="X431" i="1"/>
  <c r="X745" i="1"/>
  <c r="X164" i="1"/>
  <c r="X436" i="1"/>
  <c r="X165" i="1"/>
  <c r="X747" i="1"/>
  <c r="X167" i="1"/>
  <c r="X770" i="1"/>
  <c r="X183" i="1"/>
  <c r="X189" i="1"/>
  <c r="X191" i="1"/>
  <c r="X192" i="1"/>
  <c r="X787" i="1"/>
  <c r="X788" i="1"/>
  <c r="X194" i="1"/>
  <c r="X791" i="1"/>
  <c r="X792" i="1"/>
  <c r="X794" i="1"/>
  <c r="X198" i="1"/>
  <c r="X21" i="1"/>
  <c r="X22" i="1"/>
  <c r="X23" i="1"/>
  <c r="X488" i="1"/>
  <c r="X502" i="1"/>
  <c r="X512" i="1"/>
  <c r="X32" i="1"/>
  <c r="X221" i="1"/>
  <c r="X222" i="1"/>
  <c r="X518" i="1"/>
  <c r="X35" i="1"/>
  <c r="X37" i="1"/>
  <c r="X38" i="1"/>
  <c r="X40" i="1"/>
  <c r="X227" i="1"/>
  <c r="X527" i="1"/>
  <c r="X528" i="1"/>
  <c r="X529" i="1"/>
  <c r="X530" i="1"/>
  <c r="X230" i="1"/>
  <c r="X50" i="1"/>
  <c r="X547" i="1"/>
  <c r="X550" i="1"/>
  <c r="X553" i="1"/>
  <c r="X233" i="1"/>
  <c r="X554" i="1"/>
  <c r="X555" i="1"/>
  <c r="X236" i="1"/>
  <c r="X237" i="1"/>
  <c r="X561" i="1"/>
  <c r="X239" i="1"/>
  <c r="X241" i="1"/>
  <c r="X242" i="1"/>
  <c r="X243" i="1"/>
  <c r="X244" i="1"/>
  <c r="X245" i="1"/>
  <c r="X53" i="1"/>
  <c r="X247" i="1"/>
  <c r="X575" i="1"/>
  <c r="X55" i="1"/>
  <c r="X56" i="1"/>
  <c r="X57" i="1"/>
  <c r="X59" i="1"/>
  <c r="X64" i="1"/>
  <c r="X65" i="1"/>
  <c r="X61" i="1"/>
  <c r="X258" i="1"/>
  <c r="X73" i="1"/>
  <c r="X277" i="1"/>
  <c r="X286" i="1"/>
  <c r="X78" i="1"/>
  <c r="X292" i="1"/>
  <c r="X80" i="1"/>
  <c r="X81" i="1"/>
  <c r="X82" i="1"/>
  <c r="X83" i="1"/>
  <c r="X84" i="1"/>
  <c r="X294" i="1"/>
  <c r="X85" i="1"/>
  <c r="X86" i="1"/>
  <c r="X298" i="1"/>
  <c r="X88" i="1"/>
  <c r="X599" i="1"/>
  <c r="X600" i="1"/>
  <c r="X601" i="1"/>
  <c r="X91" i="1"/>
  <c r="X92" i="1"/>
  <c r="X93" i="1"/>
  <c r="X605" i="1"/>
  <c r="X606" i="1"/>
  <c r="X311" i="1"/>
  <c r="X312" i="1"/>
  <c r="X316" i="1"/>
  <c r="X617" i="1"/>
  <c r="X619" i="1"/>
  <c r="X321" i="1"/>
  <c r="X101" i="1"/>
  <c r="X102" i="1"/>
  <c r="X103" i="1"/>
  <c r="X625" i="1"/>
  <c r="X626" i="1"/>
  <c r="X107" i="1"/>
  <c r="X326" i="1"/>
  <c r="X629" i="1"/>
  <c r="X108" i="1"/>
  <c r="X334" i="1"/>
  <c r="X109" i="1"/>
  <c r="X631" i="1"/>
  <c r="X113" i="1"/>
  <c r="X114" i="1"/>
  <c r="X115" i="1"/>
  <c r="X116" i="1"/>
  <c r="X118" i="1"/>
  <c r="X634" i="1"/>
  <c r="X344" i="1"/>
  <c r="X121" i="1"/>
  <c r="X123" i="1"/>
  <c r="X368" i="1"/>
  <c r="X658" i="1"/>
  <c r="X362" i="1"/>
  <c r="X363" i="1"/>
  <c r="X132" i="1"/>
  <c r="X381" i="1"/>
  <c r="X678" i="1"/>
  <c r="X679" i="1"/>
  <c r="X680" i="1"/>
  <c r="X385" i="1"/>
  <c r="X694" i="1"/>
  <c r="X695" i="1"/>
  <c r="X696" i="1"/>
  <c r="X150" i="1"/>
  <c r="X698" i="1"/>
  <c r="X699" i="1"/>
  <c r="X700" i="1"/>
  <c r="X702" i="1"/>
  <c r="X151" i="1"/>
  <c r="X152" i="1"/>
  <c r="X706" i="1"/>
  <c r="X426" i="1"/>
  <c r="X158" i="1"/>
  <c r="X430" i="1"/>
  <c r="X160" i="1"/>
  <c r="X743" i="1"/>
  <c r="X166" i="1"/>
  <c r="X755" i="1"/>
  <c r="X170" i="1"/>
  <c r="X766" i="1"/>
  <c r="X772" i="1"/>
  <c r="X773" i="1"/>
  <c r="X447" i="1"/>
  <c r="X176" i="1"/>
  <c r="X456" i="1"/>
  <c r="X457" i="1"/>
  <c r="X179" i="1"/>
  <c r="X464" i="1"/>
  <c r="X460" i="1"/>
  <c r="X465" i="1"/>
  <c r="X180" i="1"/>
  <c r="X188" i="1"/>
  <c r="X190" i="1"/>
  <c r="X193" i="1"/>
  <c r="X201" i="1"/>
  <c r="X196" i="1"/>
  <c r="X197" i="1"/>
  <c r="X249" i="1"/>
  <c r="X250" i="1"/>
  <c r="X213" i="1"/>
  <c r="X25" i="1"/>
  <c r="X489" i="1"/>
  <c r="X490" i="1"/>
  <c r="X27" i="1"/>
  <c r="X519" i="1"/>
  <c r="X34" i="1"/>
  <c r="X45" i="1"/>
  <c r="X551" i="1"/>
  <c r="X552" i="1"/>
  <c r="X46" i="1"/>
  <c r="X47" i="1"/>
  <c r="X48" i="1"/>
  <c r="X252" i="1"/>
  <c r="X51" i="1"/>
  <c r="X566" i="1"/>
  <c r="X572" i="1"/>
  <c r="X579" i="1"/>
  <c r="X69" i="1"/>
  <c r="X70" i="1"/>
  <c r="X71" i="1"/>
  <c r="X595" i="1"/>
  <c r="X89" i="1"/>
  <c r="X90" i="1"/>
  <c r="X604" i="1"/>
  <c r="X98" i="1"/>
  <c r="X100" i="1"/>
  <c r="X104" i="1"/>
  <c r="X332" i="1"/>
  <c r="X333" i="1"/>
  <c r="X633" i="1"/>
  <c r="X119" i="1"/>
  <c r="X124" i="1"/>
  <c r="X125" i="1"/>
  <c r="X382" i="1"/>
  <c r="X383" i="1"/>
  <c r="X397" i="1"/>
  <c r="X146" i="1"/>
  <c r="X409" i="1"/>
  <c r="X412" i="1"/>
  <c r="X708" i="1"/>
  <c r="X709" i="1"/>
  <c r="X710" i="1"/>
  <c r="X711" i="1"/>
  <c r="X717" i="1"/>
  <c r="X718" i="1"/>
  <c r="X719" i="1"/>
  <c r="X721" i="1"/>
  <c r="X735" i="1"/>
  <c r="X428" i="1"/>
  <c r="X429" i="1"/>
  <c r="X740" i="1"/>
  <c r="X162" i="1"/>
  <c r="X748" i="1"/>
  <c r="X751" i="1"/>
  <c r="X754" i="1"/>
  <c r="X440" i="1"/>
  <c r="X443" i="1"/>
  <c r="X444" i="1"/>
  <c r="X760" i="1"/>
  <c r="X769" i="1"/>
  <c r="X445" i="1"/>
  <c r="X771" i="1"/>
  <c r="X446" i="1"/>
  <c r="X177" i="1"/>
  <c r="X458" i="1"/>
  <c r="X461" i="1"/>
  <c r="X463" i="1"/>
  <c r="X466" i="1"/>
  <c r="X199" i="1"/>
  <c r="X200" i="1"/>
  <c r="X202" i="1"/>
  <c r="X795" i="1"/>
  <c r="X148" i="1"/>
  <c r="X149" i="1"/>
  <c r="X99" i="1" l="1"/>
  <c r="X105" i="1"/>
  <c r="X134" i="1"/>
  <c r="X195" i="1"/>
  <c r="X28" i="1" l="1"/>
  <c r="X386" i="1"/>
  <c r="X615" i="1"/>
  <c r="X246" i="1" l="1"/>
  <c r="X20" i="1" l="1"/>
  <c r="X533" i="1" l="1"/>
  <c r="U397" i="1" l="1"/>
  <c r="V397" i="1"/>
  <c r="U145" i="1" l="1"/>
  <c r="V145" i="1"/>
  <c r="U198" i="1" l="1"/>
  <c r="U192" i="1"/>
  <c r="U191" i="1"/>
  <c r="U183" i="1"/>
  <c r="V165" i="1"/>
  <c r="V135" i="1"/>
  <c r="V133" i="1"/>
  <c r="V129" i="1"/>
  <c r="U126" i="1"/>
  <c r="V198" i="1"/>
  <c r="V194" i="1"/>
  <c r="U189" i="1"/>
  <c r="V183" i="1"/>
  <c r="V126" i="1" l="1"/>
  <c r="U135" i="1"/>
  <c r="U129" i="1"/>
  <c r="U133" i="1"/>
  <c r="V139" i="1"/>
  <c r="U165" i="1"/>
  <c r="V189" i="1"/>
  <c r="U194" i="1"/>
  <c r="U139" i="1"/>
  <c r="V191" i="1"/>
  <c r="V192" i="1"/>
  <c r="U179" i="1" l="1"/>
  <c r="V170" i="1"/>
  <c r="V385" i="1"/>
  <c r="V118" i="1"/>
  <c r="V113" i="1"/>
  <c r="V53" i="1"/>
  <c r="V50" i="1"/>
  <c r="U22" i="1"/>
  <c r="V21" i="1"/>
  <c r="V55" i="1" l="1"/>
  <c r="V59" i="1"/>
  <c r="V65" i="1"/>
  <c r="V61" i="1"/>
  <c r="V73" i="1"/>
  <c r="V81" i="1"/>
  <c r="V84" i="1"/>
  <c r="V85" i="1"/>
  <c r="V86" i="1"/>
  <c r="V88" i="1"/>
  <c r="V321" i="1"/>
  <c r="V101" i="1"/>
  <c r="V103" i="1"/>
  <c r="V107" i="1"/>
  <c r="V115" i="1"/>
  <c r="V121" i="1"/>
  <c r="V150" i="1"/>
  <c r="V151" i="1"/>
  <c r="V152" i="1"/>
  <c r="U176" i="1"/>
  <c r="V180" i="1"/>
  <c r="U170" i="1"/>
  <c r="U21" i="1"/>
  <c r="U59" i="1"/>
  <c r="U86" i="1"/>
  <c r="U88" i="1"/>
  <c r="U121" i="1"/>
  <c r="U385" i="1"/>
  <c r="U152" i="1"/>
  <c r="V80" i="1"/>
  <c r="U80" i="1"/>
  <c r="V294" i="1"/>
  <c r="U294" i="1"/>
  <c r="V91" i="1"/>
  <c r="U91" i="1"/>
  <c r="V166" i="1"/>
  <c r="U166" i="1"/>
  <c r="V35" i="1"/>
  <c r="U35" i="1"/>
  <c r="V64" i="1"/>
  <c r="U64" i="1"/>
  <c r="V78" i="1"/>
  <c r="U78" i="1"/>
  <c r="V83" i="1"/>
  <c r="U83" i="1"/>
  <c r="V102" i="1"/>
  <c r="U102" i="1"/>
  <c r="V123" i="1"/>
  <c r="U123" i="1"/>
  <c r="V160" i="1"/>
  <c r="U160" i="1"/>
  <c r="V188" i="1"/>
  <c r="U188" i="1"/>
  <c r="V190" i="1"/>
  <c r="U190" i="1"/>
  <c r="V22" i="1"/>
  <c r="U50" i="1"/>
  <c r="U53" i="1"/>
  <c r="U55" i="1"/>
  <c r="U65" i="1"/>
  <c r="U61" i="1"/>
  <c r="U73" i="1"/>
  <c r="U81" i="1"/>
  <c r="U84" i="1"/>
  <c r="U85" i="1"/>
  <c r="U321" i="1"/>
  <c r="U101" i="1"/>
  <c r="U103" i="1"/>
  <c r="U107" i="1"/>
  <c r="U113" i="1"/>
  <c r="U115" i="1"/>
  <c r="U118" i="1"/>
  <c r="U150" i="1"/>
  <c r="U151" i="1"/>
  <c r="V176" i="1"/>
  <c r="V179" i="1"/>
  <c r="U180" i="1"/>
  <c r="U193" i="1" l="1"/>
  <c r="V32" i="1"/>
  <c r="U247" i="1"/>
  <c r="V40" i="1"/>
  <c r="V196" i="1"/>
  <c r="V247" i="1"/>
  <c r="U32" i="1"/>
  <c r="V164" i="1"/>
  <c r="V128" i="1"/>
  <c r="V82" i="1"/>
  <c r="V197" i="1"/>
  <c r="V201" i="1"/>
  <c r="V167" i="1"/>
  <c r="U153" i="1"/>
  <c r="U147" i="1"/>
  <c r="V193" i="1"/>
  <c r="U196" i="1"/>
  <c r="U201" i="1"/>
  <c r="U23" i="1"/>
  <c r="U197" i="1"/>
  <c r="U82" i="1"/>
  <c r="U40" i="1"/>
  <c r="V23" i="1"/>
  <c r="V153" i="1"/>
  <c r="U167" i="1"/>
  <c r="U128" i="1"/>
  <c r="U164" i="1"/>
  <c r="V147" i="1"/>
  <c r="V161" i="1" l="1"/>
  <c r="U161" i="1"/>
  <c r="U120" i="1" l="1"/>
  <c r="V120" i="1"/>
  <c r="U117" i="1"/>
  <c r="V117" i="1"/>
  <c r="U110" i="1"/>
  <c r="V110" i="1"/>
  <c r="U77" i="1"/>
  <c r="V77" i="1"/>
  <c r="V63" i="1"/>
  <c r="U63" i="1"/>
  <c r="V24" i="1"/>
  <c r="U24" i="1"/>
  <c r="V19" i="1"/>
  <c r="U19" i="1"/>
  <c r="V159" i="1"/>
  <c r="U159" i="1"/>
  <c r="V137" i="1"/>
  <c r="U137" i="1"/>
  <c r="V148" i="1"/>
  <c r="U148" i="1"/>
  <c r="U62" i="1"/>
  <c r="V62" i="1"/>
  <c r="U44" i="1"/>
  <c r="V44" i="1"/>
  <c r="U20" i="1"/>
  <c r="V20" i="1"/>
  <c r="V130" i="1"/>
  <c r="U130" i="1"/>
  <c r="V149" i="1"/>
  <c r="U149" i="1"/>
  <c r="V90" i="1" l="1"/>
  <c r="U90" i="1"/>
  <c r="U28" i="1" l="1"/>
  <c r="V28" i="1"/>
  <c r="U47" i="1"/>
  <c r="V47" i="1"/>
  <c r="U70" i="1"/>
  <c r="V70" i="1"/>
  <c r="V124" i="1"/>
  <c r="U124" i="1"/>
  <c r="V195" i="1"/>
  <c r="U195" i="1"/>
  <c r="V200" i="1"/>
  <c r="U200" i="1"/>
  <c r="V98" i="1"/>
  <c r="U98" i="1"/>
  <c r="V104" i="1"/>
  <c r="U104" i="1"/>
  <c r="V162" i="1"/>
  <c r="U162" i="1"/>
  <c r="V177" i="1"/>
  <c r="U177" i="1"/>
  <c r="V199" i="1"/>
  <c r="U199" i="1"/>
  <c r="V202" i="1"/>
  <c r="U202" i="1"/>
  <c r="V134" i="1" l="1"/>
  <c r="U134" i="1"/>
  <c r="V119" i="1"/>
  <c r="U119" i="1"/>
  <c r="U51" i="1"/>
  <c r="V51" i="1"/>
  <c r="U48" i="1"/>
  <c r="V48" i="1"/>
  <c r="U45" i="1"/>
  <c r="V45" i="1"/>
  <c r="U25" i="1"/>
  <c r="V25" i="1"/>
  <c r="U74" i="1"/>
  <c r="V74" i="1"/>
  <c r="U71" i="1"/>
  <c r="V71" i="1"/>
  <c r="V125" i="1"/>
  <c r="U125" i="1"/>
  <c r="V105" i="1"/>
  <c r="U105" i="1"/>
  <c r="V99" i="1"/>
  <c r="U99" i="1"/>
  <c r="U46" i="1"/>
  <c r="V46" i="1"/>
  <c r="U27" i="1"/>
  <c r="V27" i="1"/>
  <c r="V146" i="1" l="1"/>
  <c r="U146" i="1"/>
  <c r="X262" i="1" l="1"/>
  <c r="X18" i="1" l="1"/>
  <c r="V18" i="1" l="1"/>
  <c r="U18" i="1"/>
  <c r="X30" i="1" l="1"/>
  <c r="U30" i="1"/>
  <c r="V30" i="1" l="1"/>
  <c r="U36" i="1" l="1"/>
  <c r="V36" i="1"/>
  <c r="X36" i="1" l="1"/>
  <c r="X546" i="1"/>
  <c r="X94" i="1" l="1"/>
  <c r="V94" i="1" l="1"/>
  <c r="U94" i="1"/>
  <c r="X31" i="1" l="1"/>
  <c r="V31" i="1" l="1"/>
  <c r="U31" i="1"/>
  <c r="X541" i="1"/>
  <c r="X299" i="1" l="1"/>
  <c r="X684" i="1" l="1"/>
  <c r="X682" i="1"/>
  <c r="X683" i="1"/>
  <c r="X399" i="1"/>
  <c r="X685" i="1"/>
  <c r="X690" i="1"/>
  <c r="X687" i="1"/>
  <c r="X396" i="1"/>
  <c r="X686" i="1"/>
  <c r="X400" i="1"/>
  <c r="X395" i="1"/>
  <c r="X689" i="1"/>
  <c r="X398" i="1"/>
  <c r="X401" i="1"/>
  <c r="X314" i="1" l="1"/>
  <c r="X172" i="1" l="1"/>
  <c r="U172" i="1" l="1"/>
  <c r="V172" i="1"/>
  <c r="X308" i="1" l="1"/>
  <c r="X765" i="1" l="1"/>
  <c r="X513" i="1" l="1"/>
  <c r="X224" i="1" l="1"/>
  <c r="X520" i="1" l="1"/>
  <c r="X240" i="1" l="1"/>
  <c r="U240" i="1"/>
  <c r="V240" i="1" l="1"/>
  <c r="X730" i="1" l="1"/>
  <c r="X14" i="1" l="1"/>
  <c r="X330" i="1" l="1"/>
  <c r="X95" i="1"/>
  <c r="U95" i="1" l="1"/>
  <c r="V95" i="1"/>
  <c r="X306" i="1"/>
  <c r="X335" i="1" l="1"/>
  <c r="X336" i="1" l="1"/>
  <c r="X112" i="1" l="1"/>
  <c r="X538" i="1" l="1"/>
  <c r="X677" i="1" l="1"/>
  <c r="X671" i="1" l="1"/>
  <c r="X208" i="1" l="1"/>
  <c r="X786" i="1"/>
  <c r="X673" i="1" l="1"/>
  <c r="X39" i="1"/>
  <c r="V39" i="1" l="1"/>
  <c r="AS525" i="1"/>
  <c r="AT525" i="1" s="1"/>
  <c r="U39" i="1" l="1"/>
  <c r="X96" i="1" l="1"/>
  <c r="U96" i="1" l="1"/>
  <c r="V96" i="1"/>
  <c r="X42" i="1"/>
  <c r="V42" i="1" l="1"/>
  <c r="U42" i="1"/>
  <c r="U158" i="1" l="1"/>
  <c r="V158" i="1"/>
  <c r="U108" i="1" l="1"/>
  <c r="V108" i="1"/>
  <c r="N89" i="1" l="1"/>
  <c r="AP89" i="1" l="1"/>
  <c r="U89" i="1"/>
  <c r="V89" i="1"/>
  <c r="S92" i="1" l="1"/>
  <c r="AT92" i="1" s="1"/>
  <c r="N583" i="1" l="1"/>
  <c r="AP583" i="1" s="1"/>
  <c r="S584" i="1"/>
  <c r="T92" i="1"/>
  <c r="N92" i="1" s="1"/>
  <c r="T116" i="1"/>
  <c r="N116" i="1" s="1"/>
  <c r="AP116" i="1" l="1"/>
  <c r="AP92" i="1"/>
  <c r="AT584" i="1"/>
  <c r="V116" i="1"/>
  <c r="U116" i="1"/>
  <c r="N584" i="1"/>
  <c r="AP584" i="1" s="1"/>
  <c r="AU586" i="1"/>
  <c r="U92" i="1"/>
  <c r="V92" i="1"/>
  <c r="U583" i="1"/>
  <c r="N586" i="1" l="1"/>
  <c r="AP586" i="1" s="1"/>
  <c r="U584" i="1"/>
  <c r="U586" i="1" l="1"/>
  <c r="AD586" i="1"/>
  <c r="AA586" i="1"/>
  <c r="T338" i="1" l="1"/>
  <c r="T386" i="1" l="1"/>
  <c r="N338" i="1"/>
  <c r="AP338" i="1" s="1"/>
  <c r="N386" i="1" l="1"/>
  <c r="AP386" i="1" s="1"/>
  <c r="V338" i="1"/>
  <c r="U338" i="1"/>
  <c r="V386" i="1" l="1"/>
  <c r="U386" i="1"/>
  <c r="AQ210" i="1" l="1"/>
  <c r="T488" i="1"/>
  <c r="AS210" i="1"/>
  <c r="AT210" i="1" s="1"/>
  <c r="T520" i="1"/>
  <c r="AS250" i="1"/>
  <c r="S250" i="1" s="1"/>
  <c r="T273" i="1"/>
  <c r="S57" i="1"/>
  <c r="T79" i="1"/>
  <c r="T56" i="1"/>
  <c r="S720" i="1"/>
  <c r="AT37" i="1"/>
  <c r="R38" i="1"/>
  <c r="R17" i="1" s="1"/>
  <c r="R517" i="1"/>
  <c r="S511" i="1"/>
  <c r="R14" i="1" l="1"/>
  <c r="S517" i="1"/>
  <c r="AT250" i="1"/>
  <c r="AT720" i="1"/>
  <c r="N520" i="1"/>
  <c r="AP520" i="1" s="1"/>
  <c r="AS257" i="1"/>
  <c r="AT257" i="1" s="1"/>
  <c r="AT57" i="1"/>
  <c r="AT511" i="1"/>
  <c r="N273" i="1"/>
  <c r="AP273" i="1" s="1"/>
  <c r="N79" i="1"/>
  <c r="T38" i="1"/>
  <c r="T250" i="1"/>
  <c r="T720" i="1"/>
  <c r="N488" i="1"/>
  <c r="AP488" i="1" s="1"/>
  <c r="T511" i="1"/>
  <c r="N56" i="1"/>
  <c r="T57" i="1"/>
  <c r="N57" i="1" s="1"/>
  <c r="AP56" i="1" l="1"/>
  <c r="AP57" i="1"/>
  <c r="U79" i="1"/>
  <c r="N38" i="1"/>
  <c r="U520" i="1"/>
  <c r="N517" i="1"/>
  <c r="AP517" i="1" s="1"/>
  <c r="V273" i="1"/>
  <c r="N720" i="1"/>
  <c r="AP720" i="1" s="1"/>
  <c r="N250" i="1"/>
  <c r="AP250" i="1" s="1"/>
  <c r="U273" i="1"/>
  <c r="V79" i="1"/>
  <c r="AP79" i="1"/>
  <c r="V57" i="1"/>
  <c r="U57" i="1"/>
  <c r="U488" i="1"/>
  <c r="N37" i="1"/>
  <c r="V56" i="1"/>
  <c r="U56" i="1"/>
  <c r="N511" i="1"/>
  <c r="AP511" i="1" l="1"/>
  <c r="U511" i="1"/>
  <c r="V511" i="1"/>
  <c r="AP38" i="1"/>
  <c r="AP37" i="1"/>
  <c r="U38" i="1"/>
  <c r="V38" i="1"/>
  <c r="U250" i="1"/>
  <c r="V250" i="1"/>
  <c r="U517" i="1"/>
  <c r="U720" i="1"/>
  <c r="U37" i="1"/>
  <c r="V37" i="1"/>
  <c r="AT410" i="1" l="1"/>
  <c r="T410" i="1" l="1"/>
  <c r="N410" i="1" l="1"/>
  <c r="AA410" i="1" l="1"/>
  <c r="U410" i="1"/>
  <c r="V410" i="1"/>
  <c r="AP410" i="1"/>
  <c r="AD410" i="1"/>
  <c r="AT58" i="1" l="1"/>
  <c r="N58" i="1"/>
  <c r="V58" i="1" l="1"/>
  <c r="U58" i="1"/>
  <c r="AP58" i="1"/>
  <c r="S109" i="1" l="1"/>
  <c r="AT109" i="1" l="1"/>
  <c r="AS338" i="1"/>
  <c r="AT338" i="1" s="1"/>
  <c r="N109" i="1"/>
  <c r="U109" i="1" l="1"/>
  <c r="V109" i="1"/>
  <c r="AP109" i="1"/>
  <c r="AT114" i="1" l="1"/>
  <c r="AS339" i="1"/>
  <c r="N114" i="1"/>
  <c r="U114" i="1" l="1"/>
  <c r="AP114" i="1"/>
  <c r="V114" i="1"/>
  <c r="N339" i="1"/>
  <c r="AT339" i="1"/>
  <c r="AP339" i="1" l="1"/>
  <c r="U339" i="1"/>
  <c r="V339" i="1"/>
  <c r="AT72" i="1" l="1"/>
  <c r="T72" i="1"/>
  <c r="R477" i="1"/>
  <c r="N72" i="1" l="1"/>
  <c r="AP72" i="1" l="1"/>
  <c r="U72" i="1"/>
  <c r="V72" i="1"/>
  <c r="R13" i="1"/>
  <c r="T100" i="1" l="1"/>
  <c r="N100" i="1" s="1"/>
  <c r="AT100" i="1"/>
  <c r="V100" i="1" l="1"/>
  <c r="AP100" i="1"/>
  <c r="U100" i="1"/>
  <c r="AT132" i="1"/>
  <c r="AS364" i="1" l="1"/>
  <c r="S364" i="1" s="1"/>
  <c r="AS654" i="1" l="1"/>
  <c r="AT654" i="1" s="1"/>
  <c r="S206" i="1"/>
  <c r="P364" i="1"/>
  <c r="P206" i="1" s="1"/>
  <c r="AT364" i="1"/>
  <c r="V132" i="1"/>
  <c r="U132" i="1"/>
  <c r="A208" i="1" l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U364" i="1"/>
  <c r="N364" i="1"/>
  <c r="V364" i="1" l="1"/>
  <c r="U364" i="1"/>
  <c r="AP364" i="1"/>
  <c r="AT93" i="1" l="1"/>
  <c r="A478" i="1" l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N93" i="1"/>
  <c r="V93" i="1" l="1"/>
  <c r="U93" i="1"/>
  <c r="AP33" i="1"/>
  <c r="S34" i="1"/>
  <c r="AS517" i="1" s="1"/>
  <c r="S502" i="1"/>
  <c r="J22" i="10" l="1"/>
  <c r="AT34" i="1"/>
  <c r="S17" i="1"/>
  <c r="M22" i="10"/>
  <c r="L22" i="10"/>
  <c r="N22" i="10"/>
  <c r="O22" i="10"/>
  <c r="I22" i="10"/>
  <c r="G22" i="10"/>
  <c r="E486" i="10"/>
  <c r="H22" i="10"/>
  <c r="K22" i="10"/>
  <c r="R22" i="10"/>
  <c r="AT517" i="1"/>
  <c r="N483" i="1"/>
  <c r="AP483" i="1" s="1"/>
  <c r="N502" i="1"/>
  <c r="AT502" i="1"/>
  <c r="F22" i="10"/>
  <c r="T34" i="1"/>
  <c r="T17" i="1" s="1"/>
  <c r="S14" i="1" l="1"/>
  <c r="N14" i="1" s="1"/>
  <c r="N17" i="1"/>
  <c r="U483" i="1"/>
  <c r="AA483" i="1"/>
  <c r="AD483" i="1"/>
  <c r="V502" i="1"/>
  <c r="AP502" i="1"/>
  <c r="U502" i="1"/>
  <c r="N34" i="1"/>
  <c r="AP14" i="1" l="1"/>
  <c r="U34" i="1"/>
  <c r="V34" i="1"/>
  <c r="AP34" i="1"/>
  <c r="N208" i="1" l="1"/>
  <c r="AP208" i="1" s="1"/>
  <c r="U208" i="1" l="1"/>
  <c r="N279" i="1"/>
  <c r="AP279" i="1" s="1"/>
  <c r="U279" i="1" l="1"/>
  <c r="N548" i="1"/>
  <c r="U548" i="1" s="1"/>
  <c r="AP548" i="1" l="1"/>
  <c r="N595" i="1" l="1"/>
  <c r="AP595" i="1" s="1"/>
  <c r="U595" i="1" l="1"/>
  <c r="N329" i="1"/>
  <c r="U329" i="1" s="1"/>
  <c r="V329" i="1" l="1"/>
  <c r="AP329" i="1"/>
  <c r="N335" i="1"/>
  <c r="U335" i="1" s="1"/>
  <c r="V335" i="1" l="1"/>
  <c r="AP335" i="1"/>
  <c r="N336" i="1"/>
  <c r="V336" i="1" s="1"/>
  <c r="U336" i="1" l="1"/>
  <c r="AP336" i="1"/>
  <c r="N345" i="1"/>
  <c r="AP345" i="1" s="1"/>
  <c r="U345" i="1" l="1"/>
  <c r="V345" i="1"/>
  <c r="N346" i="1"/>
  <c r="U346" i="1" s="1"/>
  <c r="V346" i="1" l="1"/>
  <c r="AP346" i="1"/>
  <c r="AT389" i="1"/>
  <c r="N389" i="1"/>
  <c r="U389" i="1" s="1"/>
  <c r="V389" i="1" l="1"/>
  <c r="AP389" i="1"/>
  <c r="AT390" i="1"/>
  <c r="N390" i="1"/>
  <c r="U390" i="1" s="1"/>
  <c r="V390" i="1" l="1"/>
  <c r="AP390" i="1"/>
  <c r="N470" i="1"/>
  <c r="V470" i="1" s="1"/>
  <c r="AP470" i="1" l="1"/>
  <c r="U470" i="1"/>
  <c r="N474" i="1" l="1"/>
  <c r="AP474" i="1" s="1"/>
  <c r="V474" i="1" l="1"/>
  <c r="U474" i="1"/>
  <c r="N227" i="1" l="1"/>
  <c r="U227" i="1" s="1"/>
  <c r="V227" i="1" l="1"/>
  <c r="AP227" i="1"/>
  <c r="N254" i="1"/>
  <c r="V254" i="1" s="1"/>
  <c r="U254" i="1" l="1"/>
  <c r="AP254" i="1"/>
  <c r="N274" i="1"/>
  <c r="U274" i="1" s="1"/>
  <c r="V274" i="1" l="1"/>
  <c r="AP274" i="1"/>
  <c r="N302" i="1"/>
  <c r="AP302" i="1" s="1"/>
  <c r="U302" i="1" l="1"/>
  <c r="N316" i="1"/>
  <c r="AP316" i="1" s="1"/>
  <c r="U316" i="1" l="1"/>
  <c r="N790" i="1" l="1"/>
  <c r="AP790" i="1" s="1"/>
  <c r="T477" i="1"/>
  <c r="U790" i="1" l="1"/>
  <c r="V790" i="1"/>
  <c r="N213" i="1" l="1"/>
  <c r="AP213" i="1" s="1"/>
  <c r="U213" i="1" l="1"/>
  <c r="N266" i="1"/>
  <c r="AP266" i="1" s="1"/>
  <c r="V266" i="1" l="1"/>
  <c r="U266" i="1"/>
  <c r="Q22" i="10" l="1"/>
  <c r="P22" i="10"/>
  <c r="E225" i="10"/>
  <c r="T216" i="1" s="1"/>
  <c r="E215" i="10" l="1"/>
  <c r="E22" i="10" s="1"/>
  <c r="N216" i="1"/>
  <c r="U216" i="1" l="1"/>
  <c r="V216" i="1"/>
  <c r="AP216" i="1"/>
  <c r="AT295" i="1" l="1"/>
  <c r="T295" i="1"/>
  <c r="T206" i="1" s="1"/>
  <c r="N206" i="1" s="1"/>
  <c r="T13" i="1" l="1"/>
  <c r="N295" i="1"/>
  <c r="U295" i="1" s="1"/>
  <c r="AT206" i="1"/>
  <c r="V295" i="1" l="1"/>
  <c r="AP206" i="1"/>
  <c r="S477" i="1" l="1"/>
  <c r="S13" i="1" s="1"/>
  <c r="AT564" i="1"/>
  <c r="P564" i="1"/>
  <c r="AU564" i="1" s="1"/>
  <c r="P477" i="1" l="1"/>
  <c r="P802" i="1" s="1"/>
  <c r="AT477" i="1"/>
  <c r="N564" i="1"/>
  <c r="V564" i="1" l="1"/>
  <c r="U564" i="1"/>
  <c r="AP564" i="1"/>
  <c r="P13" i="1"/>
  <c r="N477" i="1"/>
  <c r="N13" i="1" l="1"/>
  <c r="AP477" i="1"/>
</calcChain>
</file>

<file path=xl/comments1.xml><?xml version="1.0" encoding="utf-8"?>
<comments xmlns="http://schemas.openxmlformats.org/spreadsheetml/2006/main">
  <authors>
    <author>НамыловЮИ</author>
  </authors>
  <commentList>
    <comment ref="P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убрать полностью
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полностью убрать</t>
        </r>
      </text>
    </comment>
  </commentList>
</comments>
</file>

<file path=xl/sharedStrings.xml><?xml version="1.0" encoding="utf-8"?>
<sst xmlns="http://schemas.openxmlformats.org/spreadsheetml/2006/main" count="8437" uniqueCount="1193">
  <si>
    <t>Приложение № 1 к приказу</t>
  </si>
  <si>
    <t>№ п/п</t>
  </si>
  <si>
    <t>Наименование муниципального образования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</si>
  <si>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</si>
  <si>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</si>
  <si>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</si>
  <si>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</si>
  <si>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</si>
  <si>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</si>
  <si>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в МКД</t>
  </si>
  <si>
    <t>Количество жителей</t>
  </si>
  <si>
    <t>Стоимость капитального ремонта с разбивкой по источникам финансирования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</si>
  <si>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</si>
  <si>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</si>
  <si>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Сроки проведения работ по капитальному ремонту</t>
  </si>
  <si>
    <t>Стоимость капитального ремонта, всего</t>
  </si>
  <si>
    <t>Ввода в эксплуатацию</t>
  </si>
  <si>
    <t>Последнего капитального ремонта</t>
  </si>
  <si>
    <t>в том числе жилых помещений (квартир)</t>
  </si>
  <si>
    <t>в том числе нежилых помещений</t>
  </si>
  <si>
    <t>Всего</t>
  </si>
  <si>
    <t>в том числе</t>
  </si>
  <si>
    <t xml:space="preserve">Ремонт внутридомовых инженерных систем
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</si>
  <si>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</si>
  <si>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</si>
  <si>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</si>
  <si>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</si>
  <si>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</si>
  <si>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За счет федеральных средств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</si>
  <si>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</si>
  <si>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</si>
  <si>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</si>
  <si>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</si>
  <si>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</si>
  <si>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</si>
  <si>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</si>
  <si>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</si>
  <si>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</si>
  <si>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</si>
  <si>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кв.м</t>
  </si>
  <si>
    <t>чел</t>
  </si>
  <si>
    <t>руб</t>
  </si>
  <si>
    <t>руб/кв.м</t>
  </si>
  <si>
    <t>Камень</t>
  </si>
  <si>
    <t>ГО "Жатай"</t>
  </si>
  <si>
    <t>МО "Город Ленск"</t>
  </si>
  <si>
    <t>МО "Город Мирный"</t>
  </si>
  <si>
    <t>Крупнопанельный</t>
  </si>
  <si>
    <t>Дерево</t>
  </si>
  <si>
    <t>ГП "Поселок Беркакит"</t>
  </si>
  <si>
    <t>ГП "Поселок Золотинка"</t>
  </si>
  <si>
    <t>ГП "Поселок Чульман"</t>
  </si>
  <si>
    <t>ГО "город Якутск"</t>
  </si>
  <si>
    <t>МО "Город Алдан"</t>
  </si>
  <si>
    <t>МО "Поселок Ленинский"</t>
  </si>
  <si>
    <t>МО "Поселок Нижний Куранах"</t>
  </si>
  <si>
    <t>МО "Поселок Зырянка"</t>
  </si>
  <si>
    <t>МО "Поселок Айхал"</t>
  </si>
  <si>
    <t>МО "Поселок Светлый"</t>
  </si>
  <si>
    <t>МО "Поселок Чернышевский"</t>
  </si>
  <si>
    <t>МО "Город Нюрба"</t>
  </si>
  <si>
    <t>МО "Поселок Эльдикан"</t>
  </si>
  <si>
    <t>МО "Город Покровск"</t>
  </si>
  <si>
    <t>МО "Поселок Мохсоголлох"</t>
  </si>
  <si>
    <t>МО "Город Томмот"</t>
  </si>
  <si>
    <t>МО "Поселок Тикси"</t>
  </si>
  <si>
    <t>МО "Угольнинский наслег"</t>
  </si>
  <si>
    <t>МО "поселок Черский"</t>
  </si>
  <si>
    <t>МО "Город Олекминск"</t>
  </si>
  <si>
    <t>МО "Поселок Хандыга"</t>
  </si>
  <si>
    <t>МО "Петропавловский национальный наслег"</t>
  </si>
  <si>
    <t>ГП "Поселок Серебряный Бор"</t>
  </si>
  <si>
    <t>МО "Поселок Солнечный"</t>
  </si>
  <si>
    <t>МО "Ленский наслег"</t>
  </si>
  <si>
    <t>МО "Чурапчинский наслег"</t>
  </si>
  <si>
    <t>Приложение № 2 к приказу</t>
  </si>
  <si>
    <t>Разработка проектной документациина проведение капитального ремонта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</si>
  <si>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</si>
  <si>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Виды работ, установленные ч.1 ст.19 Закона Республики Саха (Якутия) от 24.6.213 года 121-З №1329-IV "Об организации проведения капитального ремонта общего имущества в многоквартирных домах на территории Республики Саха (Якутия)"</t>
  </si>
  <si>
    <t>МО "поселок Депутатский" спецсчет</t>
  </si>
  <si>
    <t>-</t>
  </si>
  <si>
    <t>Ремонт, замена, модернизация лифтов, ремонт лифтовых шахт, машинных и блочных помещений</t>
  </si>
  <si>
    <t>МО "Город Нерюнгри"</t>
  </si>
  <si>
    <t>МО "Город Нерюнгри" спецсчет</t>
  </si>
  <si>
    <t>Панельный</t>
  </si>
  <si>
    <t>проверить СС Алекесеева ЕИ</t>
  </si>
  <si>
    <t>проверить СС Алексеева ЕИ</t>
  </si>
  <si>
    <t>проверить заимств Алексеева ЕИ</t>
  </si>
  <si>
    <t>Проверить ЗС Алексеева ЕИ</t>
  </si>
  <si>
    <t>Проведение
строительного
контроля
(технического
надзора)</t>
  </si>
  <si>
    <t>лан</t>
  </si>
  <si>
    <t>2022 год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</si>
  <si>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видам работ</t>
  </si>
  <si>
    <t>п. Золотинка, п. Золотинка (г Нерюнгри), ул. Железнодорожная, д. 1</t>
  </si>
  <si>
    <t>ГО "Город Якутск"</t>
  </si>
  <si>
    <t>1996</t>
  </si>
  <si>
    <t>Каменные</t>
  </si>
  <si>
    <t>9</t>
  </si>
  <si>
    <t>2</t>
  </si>
  <si>
    <t>Крупнопанельные блоки</t>
  </si>
  <si>
    <t>8</t>
  </si>
  <si>
    <t>3</t>
  </si>
  <si>
    <t>1</t>
  </si>
  <si>
    <t>1994</t>
  </si>
  <si>
    <t>1990</t>
  </si>
  <si>
    <t>4</t>
  </si>
  <si>
    <t>1992</t>
  </si>
  <si>
    <t>1991</t>
  </si>
  <si>
    <t>5</t>
  </si>
  <si>
    <t>6</t>
  </si>
  <si>
    <t>1979</t>
  </si>
  <si>
    <t>1981</t>
  </si>
  <si>
    <t>1982</t>
  </si>
  <si>
    <t>1983</t>
  </si>
  <si>
    <t>1976</t>
  </si>
  <si>
    <t>1970</t>
  </si>
  <si>
    <t>1973</t>
  </si>
  <si>
    <t>1974</t>
  </si>
  <si>
    <t>МО "ГП "Поселок Хани""</t>
  </si>
  <si>
    <t>1987</t>
  </si>
  <si>
    <t>1988</t>
  </si>
  <si>
    <t>1989</t>
  </si>
  <si>
    <t>1993</t>
  </si>
  <si>
    <t>г. Якутск, ул. Чернышевского, д. 8</t>
  </si>
  <si>
    <t>1971</t>
  </si>
  <si>
    <t>1975</t>
  </si>
  <si>
    <t>1999</t>
  </si>
  <si>
    <t>1978</t>
  </si>
  <si>
    <t>1997</t>
  </si>
  <si>
    <t>1998</t>
  </si>
  <si>
    <t>7</t>
  </si>
  <si>
    <t>1963</t>
  </si>
  <si>
    <t>ГО "Город Якутск" спецсчет</t>
  </si>
  <si>
    <t>1985</t>
  </si>
  <si>
    <t>1972</t>
  </si>
  <si>
    <t>1995</t>
  </si>
  <si>
    <t>МО "Поселок Усть-Нера"</t>
  </si>
  <si>
    <t>ГП "Город Покровск"</t>
  </si>
  <si>
    <t>СП "Немюгюнский наслег"</t>
  </si>
  <si>
    <t>1986</t>
  </si>
  <si>
    <t>ГП "Город Нерюнгри" спецсчет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</si>
  <si>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источникам финансирования</t>
  </si>
  <si>
    <t>СС</t>
  </si>
  <si>
    <t>ССг*0,8</t>
  </si>
  <si>
    <t>ЗС</t>
  </si>
  <si>
    <t>Иные источники</t>
  </si>
  <si>
    <t>ГО "город Якутск" спецсчет</t>
  </si>
  <si>
    <t>перенос на 2023</t>
  </si>
  <si>
    <t>2011</t>
  </si>
  <si>
    <t>2013</t>
  </si>
  <si>
    <t>МО "Мюрюнский наслег"</t>
  </si>
  <si>
    <t>Ленский у, г. Ленск, ул. Ленина, д. 66</t>
  </si>
  <si>
    <t>1977</t>
  </si>
  <si>
    <t>Ремонт внутридомовых инженерных систем</t>
  </si>
  <si>
    <t xml:space="preserve">Ремонт, замена, модернизация лифтов, ремонт лифтовых шахт, машинных и блочных помещений
</t>
  </si>
  <si>
    <t>Ремонт подвальных помещений, относящихся к общему имуществу в многоквартирном доме</t>
  </si>
  <si>
    <t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</t>
  </si>
  <si>
    <t>Ремонт фундамента многоквартирного дома, цокольных балок и перекрытий, включая утепление цокольного перекрытия</t>
  </si>
  <si>
    <t>Разработка проектной документации на проведение капитального ремонта</t>
  </si>
  <si>
    <t>Проведение экспертизы проектной документации на проведение капитального ремонта, проверки достоверности определения сметной стоимости</t>
  </si>
  <si>
    <t>Проведение строительного контроля (технического надзора)</t>
  </si>
  <si>
    <t>руб.</t>
  </si>
  <si>
    <t>Алданский у, г. Алдан, пер. Спортивный, д. 2</t>
  </si>
  <si>
    <t>Алданский у, г. Алдан, ул. Алданская, д. 7</t>
  </si>
  <si>
    <t>Алданский у, г. Алдан, ул. Алданская, д. 9</t>
  </si>
  <si>
    <t>Алданский у, г. Алдан, ул. Алданская, д. 13</t>
  </si>
  <si>
    <t>Алданский у, г. Алдан, ул. Алданская, д. 20</t>
  </si>
  <si>
    <t>Алданский у, г. Алдан, ул. Гагарина, д. 3</t>
  </si>
  <si>
    <t>Алданский у, г. Алдан, ул. Гагарина, д. 5</t>
  </si>
  <si>
    <t>Алданский у, г. Алдан, ул. Гагарина, д. 7</t>
  </si>
  <si>
    <t>Алданский у, г. Алдан, ул. Гагарина, д. 8</t>
  </si>
  <si>
    <t>Алданский у, г. Алдан, ул. Гагарина,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</si>
  <si>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</si>
  <si>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</si>
  <si>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15</t>
  </si>
  <si>
    <t>Алданский у, г. Алдан, ул. Гагарина, д. 17</t>
  </si>
  <si>
    <t>Алданский у, г. Алдан, ул. Гагарина, д. 19</t>
  </si>
  <si>
    <t>Алданский у, г. Алдан, ул. Гагарина, д. 21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</si>
  <si>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</si>
  <si>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</si>
  <si>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</si>
  <si>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Достовалова, д. 8</t>
  </si>
  <si>
    <t>Алданский у, г. Алдан, ул. Комарова, д. 25</t>
  </si>
  <si>
    <t>Алданский у, г. Алдан, ул. Ленина, д. 22</t>
  </si>
  <si>
    <t>Алданский у, г. Алдан, ул. Ленина, д. 24</t>
  </si>
  <si>
    <t>Алданский у, г. Алдан, ул. Ленина, д. 33</t>
  </si>
  <si>
    <t>Алданский у, г. Алдан, ул. Ленина, д. 47</t>
  </si>
  <si>
    <t>Алданский у, г. Алдан, ул. Октябрьская, д. 6</t>
  </si>
  <si>
    <t>Алданский у, г. Алдан, ул. Октябрьская, д. 9</t>
  </si>
  <si>
    <t>Алданский у, г. Алдан, ул. Пролетарская, д. 12</t>
  </si>
  <si>
    <t>Алданский у, г. Алдан, ул. Семенова, д. 9</t>
  </si>
  <si>
    <t>Алданский у, г. Алдан, ул. Стрельцова, д. 2</t>
  </si>
  <si>
    <t>Алданский у, г. Алдан, ул. Тополиная, д. 57</t>
  </si>
  <si>
    <t>Алданский у, г. Томмот, пер. Якутский, д. 16</t>
  </si>
  <si>
    <t>Алданский у, г. Томмот, пер. Якутский, д. 18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</si>
  <si>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</si>
  <si>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</si>
  <si>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</si>
  <si>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Алданский у, п Ленинский, п. Ленинский, ул. Карла Маркса, д. 18</t>
  </si>
  <si>
    <t>Алданский у, п Ленинский, п. Ленинский, ул. Ленина, д. 22 кор.А</t>
  </si>
  <si>
    <t>Алданский у, п Ленинский, п. Ленинский, ул. Стрельцова, д. 39</t>
  </si>
  <si>
    <t>Алданский у, п. Нижний Куранах, мкр. 1-й, д. 12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</si>
  <si>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</si>
  <si>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</si>
  <si>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Строительная, д. 1В</t>
  </si>
  <si>
    <t>Алданский у, п. Нижний Куранах, ул. Строительная, д. 1Г</t>
  </si>
  <si>
    <t>Алданский у, п. Нижний Куранах, ул. Федоренко,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</si>
  <si>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</si>
  <si>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</si>
  <si>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</si>
  <si>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Юбилейная, д. 15</t>
  </si>
  <si>
    <t>Булунский у, п. Тикси, ул. Академика Федорова, д. 26А</t>
  </si>
  <si>
    <t>Булунский у, п. Тикси, ул. Академика Федорова, д. 28</t>
  </si>
  <si>
    <t>Булунский у, п. Тикси, ул. Академика Федорова, д. 30</t>
  </si>
  <si>
    <t>Булунский у, п. Тикси, ул. Академика Федорова, д. 36А</t>
  </si>
  <si>
    <t>Булунский у, п. Тикси, ул. Гагарина, д. 2</t>
  </si>
  <si>
    <t>Булунский у, п. Тикси, ул. Гагарина, д. 4</t>
  </si>
  <si>
    <t>Булунский у, п. Тикси, ул. Морская, д. 35А</t>
  </si>
  <si>
    <t>Булунский у, п. Тикси, ул. Трусова, д. 2</t>
  </si>
  <si>
    <t>Булунский у, п. Тикси, ул. Трусова, д. 9</t>
  </si>
  <si>
    <t>Булунский у, п. Тикси, п. Тикси 3-й, ул. Полярной Авиации, д. 8А</t>
  </si>
  <si>
    <t>Верхнеколымский у, п. Зырянка, ул. Стадухина, д. 7</t>
  </si>
  <si>
    <t>г. Якутск, мкр. 202-й, д. 5</t>
  </si>
  <si>
    <t>г. Якутск, пр-кт Ленина, д. 9</t>
  </si>
  <si>
    <t>г. Якутск, пр-кт Ленина, д. 11</t>
  </si>
  <si>
    <t>г. Якутск, пр-кт Ленина, д. 16</t>
  </si>
  <si>
    <t>г. Якутск, пр-кт Ленина, д. 21</t>
  </si>
  <si>
    <t>г. Якутск, пр-кт Ленина, д. 23</t>
  </si>
  <si>
    <t>г. Якутск, пр-кт Ленина, д. 34</t>
  </si>
  <si>
    <t>г. Якутск, пр-кт Ленина, д. 35</t>
  </si>
  <si>
    <t>г. Якутск, пр-кт Ленина, д. 36</t>
  </si>
  <si>
    <t>г. Якутск, пр-кт Ленина, д. 37</t>
  </si>
  <si>
    <t>г. Якутск, пр-кт Ленина, д. 38</t>
  </si>
  <si>
    <t>г. Якутск, пр-кт Ленина, д. 44</t>
  </si>
  <si>
    <t>г. Якутск, пр-кт Ленина, д. 46</t>
  </si>
  <si>
    <t>г. Якутск, ул. Кальвица, д. 1 кор.1</t>
  </si>
  <si>
    <t>г. Якутск, ул. Кальвица, д. 5</t>
  </si>
  <si>
    <t>г. Якутск, ул. Крупской, д. 21</t>
  </si>
  <si>
    <t>г. Якутск, ул. Лермонтова, д. 27 кор.1</t>
  </si>
  <si>
    <t>г. Якутск, ул. Маяковского, д. 110 кор.1</t>
  </si>
  <si>
    <t>г. Якутск, ул. Маяковского, д. 110 кор.2</t>
  </si>
  <si>
    <t>г. Якутск, ул. Маяковского, д. 112</t>
  </si>
  <si>
    <t>г. Якутск, ул. Маяковского, д. 114</t>
  </si>
  <si>
    <t>г. Якутск, ул. Мерзлотная, д. 28</t>
  </si>
  <si>
    <t>г. Якутск, ул. Можайского, д. 21 кор.1</t>
  </si>
  <si>
    <t>г. Якутск, ул. Октябрьская, д. 21</t>
  </si>
  <si>
    <t>г. Якутск, ул. Орджоникидзе, д. 33</t>
  </si>
  <si>
    <t>г. Якутск, ул. Орджоникидзе, д. 37</t>
  </si>
  <si>
    <t>г. Якутск, ул. Семена Данилова, д. 30</t>
  </si>
  <si>
    <t>г. Якутск, ул. Сергеляхская, д. 10 кор.2</t>
  </si>
  <si>
    <t>г. Якутск, ш. Сергеляхское 12 км, д. 7</t>
  </si>
  <si>
    <t>г. Якутск, с. Тулагино, ул. Связистов, д. 1</t>
  </si>
  <si>
    <t>г. Якутск, с. Тулагино, ул. Связистов, д. 2</t>
  </si>
  <si>
    <t>г. Якутск, с. Хатассы, ул. Ленина, д. 67 кор.1</t>
  </si>
  <si>
    <t>ГО Жатай, п. Жатай, ул. Северная, д. 23/1</t>
  </si>
  <si>
    <t>Ленский у, г. Ленск, ул. Ойунского, д. 24</t>
  </si>
  <si>
    <t>Ленский у, г. Ленск, ул. Орджоникидзе, д. 7</t>
  </si>
  <si>
    <t>Ленский у, г. Ленск, ул. Первомайская, д. 22</t>
  </si>
  <si>
    <t>Ленский у, г. Ленск, ул. Первомайская, д. 26</t>
  </si>
  <si>
    <t>Ленский у, г. Ленск, ул. Пролетарская, д. 15</t>
  </si>
  <si>
    <t>Мирнинский у, г. Мирный, ул. Аммосова, д. 98 кор.1</t>
  </si>
  <si>
    <t>Мирнинский у, г. Мирный, ул. Комсомольская, д. 25</t>
  </si>
  <si>
    <t>Мирнинский у, г. Мирный, ул. Комсомольская, д. 25 кор.А</t>
  </si>
  <si>
    <t>Мирнинский у, г. Мирный, ул. Комсомольская, д. 29</t>
  </si>
  <si>
    <t>Мирнинский у, г. Мирный, ул. Ленина, д. 10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</si>
  <si>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</si>
  <si>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</si>
  <si>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20 кор.А</t>
  </si>
  <si>
    <t>Мирнинский у, г. Мирный, ул. Ленина, д. 21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</si>
  <si>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</si>
  <si>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</si>
  <si>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</si>
  <si>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</si>
  <si>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</si>
  <si>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</si>
  <si>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</si>
  <si>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</si>
  <si>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</si>
  <si>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</si>
  <si>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</si>
  <si>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8</t>
  </si>
  <si>
    <t>Мирнинский у, г. Мирный, ул. Советская, д. 14</t>
  </si>
  <si>
    <t>Мирнинский у, г. Мирный, ул. Тихонова, д. 3 кор.1</t>
  </si>
  <si>
    <t>Мирнинский у, г. Удачный, мкр. Новый город, д. 1</t>
  </si>
  <si>
    <t>Мирнинский у, п. Светлый, ул. Гидростроителей, д. 4</t>
  </si>
  <si>
    <t>Мирнинский у, п. Светлый, ул. Гидростроителей, д. 5</t>
  </si>
  <si>
    <t>Намский у, Ленский н-г, с. Намцы, ул. Чернышевского, д. 22</t>
  </si>
  <si>
    <t>г. Нерюнгри, пр-кт Геологов, д. 6 кор.1</t>
  </si>
  <si>
    <t>г. Нерюнгри, пр-кт Геологов, д. 39</t>
  </si>
  <si>
    <t>г. Нерюнгри, пр-кт Геологов, д. 39 кор.1</t>
  </si>
  <si>
    <t>г. Нерюнгри, пр-кт Геологов, д. 43</t>
  </si>
  <si>
    <t>г. Нерюнгри, пр-кт Геологов, д. 51</t>
  </si>
  <si>
    <t>г. Нерюнгри, пр-кт Геологов, д. 59 кор.1</t>
  </si>
  <si>
    <t>г. Нерюнгри, пр-кт Дружбы Народов, д. 10 кор.1</t>
  </si>
  <si>
    <t>г. Нерюнгри, пр-кт Дружбы Народов, д. 14 кор.1</t>
  </si>
  <si>
    <t>г. Нерюнгри, пр-кт Дружбы Народов, д. 15 кор.1</t>
  </si>
  <si>
    <t>г. Нерюнгри, пр-кт Дружбы Народов, д. 16 кор.2</t>
  </si>
  <si>
    <t>г. Нерюнгри, пр-кт Дружбы Народов, д. 18 кор.2</t>
  </si>
  <si>
    <t>г. Нерюнгри, пр-кт Дружбы Народов, д. 35</t>
  </si>
  <si>
    <t>г. Нерюнгри, пр-кт Дружбы Народов, д. 37</t>
  </si>
  <si>
    <t>г. Нерюнгри, пр-кт Ленина, д. 1 кор.3</t>
  </si>
  <si>
    <t>г. Нерюнгри, пр-кт Ленина, д. 6 кор.1</t>
  </si>
  <si>
    <t>г. Нерюнгри, пр-кт Ленина, д. 6 кор.2</t>
  </si>
  <si>
    <t>г. Нерюнгри, пр-кт Ленина, д. 6 кор.3</t>
  </si>
  <si>
    <t>г. Нерюнгри, пр-кт Ленина, д. 7 кор.1</t>
  </si>
  <si>
    <t>г. Нерюнгри, пр-кт Ленина, д. 13 кор.1</t>
  </si>
  <si>
    <t>г. Нерюнгри, пр-кт Ленина, д. 19 кор.1</t>
  </si>
  <si>
    <t>г. Нерюнгри, пр-кт Мира, д. 3</t>
  </si>
  <si>
    <t>г. Нерюнгри, пр-кт Мира, д. 15 кор.1</t>
  </si>
  <si>
    <t>г. Нерюнгри, пр-кт Мира, д. 25 кор.1</t>
  </si>
  <si>
    <t>г. Нерюнгри, пр-кт Мира, д. 31</t>
  </si>
  <si>
    <t>г. Нерюнгри, ул. Аммосова, д. 10 кор.2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</si>
  <si>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</si>
  <si>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</si>
  <si>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</si>
  <si>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10</t>
  </si>
  <si>
    <t>г. Нерюнгри, ул. им Кравченко, д. 12</t>
  </si>
  <si>
    <t>г. Нерюнгри, ул. им Кравченко, д. 17 кор.2</t>
  </si>
  <si>
    <t>г. Нерюнгри, ул. им Кравченко, д. 20 кор.1</t>
  </si>
  <si>
    <t>г. Нерюнгри, ул. им Кравченко, д. 21 кор.1</t>
  </si>
  <si>
    <t>г. Нерюнгри, ул. Карла Маркса, д. 1</t>
  </si>
  <si>
    <t>г. Нерюнгри, ул. Карла Маркса, д. 5 кор.1</t>
  </si>
  <si>
    <t>г. Нерюнгри, ул. Карла Маркса, д. 16</t>
  </si>
  <si>
    <t>г. Нерюнгри, ул. Карла Маркса, д. 16 кор.1</t>
  </si>
  <si>
    <t>г. Нерюнгри, ул. Карла Маркса, д. 25 кор.1</t>
  </si>
  <si>
    <t>г. Нерюнгри, ул. Карла Маркса, д. 27</t>
  </si>
  <si>
    <t>г. Нерюнгри, ул. Карла Маркса, д. 27 кор.1</t>
  </si>
  <si>
    <t>г. Нерюнгри, ул. Карла Маркса, д. 27 кор.2</t>
  </si>
  <si>
    <t>г. Нерюнгри, ул. Карла Маркса, д. 29 кор.1</t>
  </si>
  <si>
    <t>г. Нерюнгри, ул. Лужников, д. 5</t>
  </si>
  <si>
    <t>г. Нерюнгри, ул. Новостроевская, д. 3</t>
  </si>
  <si>
    <t>г. Нерюнгри, ул. Новостроевская, д. 5</t>
  </si>
  <si>
    <t>г. Нерюнгри, ул. Платона Ойунского, д. 1</t>
  </si>
  <si>
    <t>г. Нерюнгри, ул. Сосновая, д. 4</t>
  </si>
  <si>
    <t>г. Нерюнгри, ул. Строителей, д. 1</t>
  </si>
  <si>
    <t>г. Нерюнгри, ул. Строителей, д. 3 кор.1</t>
  </si>
  <si>
    <t>г. Нерюнгри, ул. Строителей, д. 3 кор.2</t>
  </si>
  <si>
    <t>г. Нерюнгри, ул. Тимптонская, д. 3</t>
  </si>
  <si>
    <t>г. Нерюнгри, ул. Чурапчинская, д. 40</t>
  </si>
  <si>
    <t>г. Нерюнгри, ул. Чурапчинская, д. 46</t>
  </si>
  <si>
    <t>г. Нерюнгри, ул. Южно-Якутская, д. 25 кор.1</t>
  </si>
  <si>
    <t>г. Нерюнгри, ул. Южно-Якутская, д. 28</t>
  </si>
  <si>
    <t>г. Нерюнгри, ул. Южно-Якутская, д. 30</t>
  </si>
  <si>
    <t>г. Нерюнгри, ул. Южно-Якутская, д. 36 кор.3</t>
  </si>
  <si>
    <t>г. Нерюнгри, ул. Южно-Якутская, д. 38</t>
  </si>
  <si>
    <t>п. Серебряный Бор, п. Серебряный Бор (г Нерюнгри), д. 14</t>
  </si>
  <si>
    <t>п. Серебряный Бор, п. Серебряный Бор (г Нерюнгри), д. 118</t>
  </si>
  <si>
    <t>п. Серебряный Бор, п. Серебряный Бор (г Нерюнгри), д. 120</t>
  </si>
  <si>
    <t>п. Серебряный Бор, п. Серебряный Бор (г Нерюнгри), д. 197</t>
  </si>
  <si>
    <t>п. Серебряный Бор, п. Серебряный Бор (г Нерюнгри), д. 208</t>
  </si>
  <si>
    <t>п. Серебряный Бор, п. Серебряный Бор (г Нерюнгри), д. 277</t>
  </si>
  <si>
    <t>п. Чульман, п. Чульман (г Нерюнгри), ул. Циолковского, д. 7</t>
  </si>
  <si>
    <t>Нижнеколымский у, п. Черский, ул. Молодежная, д. 8 кор.1</t>
  </si>
  <si>
    <t>Нижнеколымский у, п. Черский, ул. Молодежная, д. 10 кор.1</t>
  </si>
  <si>
    <t>Нижнеколымский у, п. Черский, ул. Молодежная, д. 16 кор.1</t>
  </si>
  <si>
    <t>Нижнеколымский у, п. Черский, ул. Октябрьская, д. 19</t>
  </si>
  <si>
    <t>Нижнеколымский у, п. Черский, ул. Пушкина, д. 37</t>
  </si>
  <si>
    <t>Нижнеколымский у, п. Черский, ул. Таврата, д. 3</t>
  </si>
  <si>
    <t>Хангаласский у, Бестяхский н-г, с. Бестях, ул. Центральная, д. 53</t>
  </si>
  <si>
    <t>Хангаласский у, г. Покровск, ул. Притузова, д. 11</t>
  </si>
  <si>
    <t>Хангаласский у, г. Покровск, ул. Таежная, д. 2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</si>
  <si>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</si>
  <si>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</si>
  <si>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Хангаласский у, Октёмский н-г, с. Октемцы, пер. Моисеева, д. 15</t>
  </si>
  <si>
    <t>Хангаласский у, п. Мохсоголлох, ул. Соколиная, д. 1</t>
  </si>
  <si>
    <t>Хангаласский у, п. Мохсоголлох, ул. Соколиная, д. 7</t>
  </si>
  <si>
    <t>Хангаласский у, п. Мохсоголлох, ул. Соколиная, д. 9</t>
  </si>
  <si>
    <t>Хангаласский у, п. Мохсоголлох, ул. Соколиная, д. 17</t>
  </si>
  <si>
    <t>Хангаласский у, п. Мохсоголлох, ул. Соколиная, д. 19</t>
  </si>
  <si>
    <t>Алданский у, п. Нижний Куранах, ул. Старательская, д. 84</t>
  </si>
  <si>
    <t>Алданский у, п. Нижний Куранах, ул. Строительная, д. 7</t>
  </si>
  <si>
    <t>Алданский у, п. Нижний Куранах, ул. Строительная, д. 9</t>
  </si>
  <si>
    <t>Алданский у, п. Нижний Куранах, ул. Строительная, д. 17</t>
  </si>
  <si>
    <t>Алданский у, п. Нижний Куранах, ул. Строительная, д. 19</t>
  </si>
  <si>
    <t>Алданский у, п. Нижний Куранах, ул. Федоренко, д. 103</t>
  </si>
  <si>
    <t>Алданский у, п. Нижний Куранах, ул. Шахтерская, д. 95</t>
  </si>
  <si>
    <t>Алданский у, п. Нижний Куранах, ул. Школьная, д. 31</t>
  </si>
  <si>
    <t>Алданский у, п. Нижний Куранах, ул. Юбилейная, д. 15СЕКЦ.А</t>
  </si>
  <si>
    <t>Булунский у, п. Тикси, ул. 50 лет Севморпути, д. 23</t>
  </si>
  <si>
    <t>Булунский у, п. Тикси, ул. Академика Федорова, д. 24</t>
  </si>
  <si>
    <t>Булунский у, п. Тикси, ул. Академика Федорова, д. 26</t>
  </si>
  <si>
    <t>Булунский у, п. Тикси, ул. Гагарина, д. 8</t>
  </si>
  <si>
    <t>Булунский у, п. Тикси, ул. Ленинская, д. 27</t>
  </si>
  <si>
    <t>Булунский у, п. Тикси, ул. Морская, д. 18</t>
  </si>
  <si>
    <t>Булунский у, п. Тикси, ул. Морская, д. 46</t>
  </si>
  <si>
    <t>Булунский у, п. Тикси, ул. Морская, д. 46А</t>
  </si>
  <si>
    <t>Вилюйский у, г. Вилюйск, ул. Мира, д. 70 кор.А</t>
  </si>
  <si>
    <t>г. Якутск, пр-кт Ленина, д. 6</t>
  </si>
  <si>
    <t>г. Якутск, пр-кт Ленина, д. 10</t>
  </si>
  <si>
    <t>г. Якутск, ул. Жорницкого, д. 38</t>
  </si>
  <si>
    <t>г. Якутск, ул. Каландаришвили, д. 38 кор.1</t>
  </si>
  <si>
    <t>г. Якутск, ул. Каландаришвили, д. 40</t>
  </si>
  <si>
    <t>г. Якутск, ул. Кулаковского, д. 30</t>
  </si>
  <si>
    <t>г. Якутск, ул. Лермонтова, д. 23 кор.2</t>
  </si>
  <si>
    <t>г. Якутск, ул. Лермонтова, д. 29 кор.1</t>
  </si>
  <si>
    <t>г. Якутск, ул. Можайского, д. 19</t>
  </si>
  <si>
    <t>г. Якутск, ул. Орджоникидзе, д. 44</t>
  </si>
  <si>
    <t>г. Якутск, ул. Очиченко, д. 25 кор.2</t>
  </si>
  <si>
    <t>г. Якутск, ул. Петра Алексеева, д. 4 кор.3</t>
  </si>
  <si>
    <t>г. Якутск, ул. Стадухина, д. 84</t>
  </si>
  <si>
    <t>г. Якутск, ул. Стадухина, д. 86</t>
  </si>
  <si>
    <t>г. Якутск, мкр. Кангалассы, ул. 26 партсъезда, д. 2</t>
  </si>
  <si>
    <t>г. Якутск, с. Хатассы, ул. Ленина, д. 67 кор.2</t>
  </si>
  <si>
    <t>ГО Жатай, п. Жатай, ул. Северная, д. 19</t>
  </si>
  <si>
    <t>Ленский у, г. Ленск, ул. Дзержинского, д. 15</t>
  </si>
  <si>
    <t>Ленский у, г. Ленск, ул. Дзержинского, д. 23</t>
  </si>
  <si>
    <t>Ленский у, г. Ленск, ул. Ленина, д. 64</t>
  </si>
  <si>
    <t>Ленский у, г. Ленск, ул. Ойунского, д. 34</t>
  </si>
  <si>
    <t>Мирнинский у, г. Мирный, ул. Аммосова, д. 16</t>
  </si>
  <si>
    <t>Мирнинский у, г. Мирный, ул. Ленина, д. 10 кор.А</t>
  </si>
  <si>
    <t>Мирнинский у, г. Мирный, ул. Ленина, д. 14</t>
  </si>
  <si>
    <t>Мирнинский у, г. Мирный, ул. Ленина, д. 36</t>
  </si>
  <si>
    <t>Мирнинский у, г. Мирный, ул. Ойунского, д. 7</t>
  </si>
  <si>
    <t>Мирнинский у, г. Мирный, ул. Советская, д. 7</t>
  </si>
  <si>
    <t>Мирнинский у, г. Мирный, ул. Советская, д. 17 кор.А</t>
  </si>
  <si>
    <t>Мирнинский у, г. Мирный, ш. 50 лет Октября, д. 3</t>
  </si>
  <si>
    <t>Мирнинский у, г. Мирный, ш. 50 лет Октября, д. 5</t>
  </si>
  <si>
    <t>Мирнинский у, п. Айхал, ул. Советская, д. 15 кор.Б</t>
  </si>
  <si>
    <t>Мирнинский у, п. Светлый, ул. Дружбы Народов, д. 3</t>
  </si>
  <si>
    <t>Мирнинский у, п. Светлый, ул. Дружбы Народов, д. 5</t>
  </si>
  <si>
    <t>Мирнинский у, п. Светлый, ул. Дружбы Народов, д. 7</t>
  </si>
  <si>
    <t>Мирнинский у, п. Светлый, ул. Дружбы Народов, д. 9</t>
  </si>
  <si>
    <t>Мирнинский у, п. Светлый, ул. Дружбы Народов, д. 13</t>
  </si>
  <si>
    <t>Мирнинский у, п. Светлый, ул. Молодежная, д. 25</t>
  </si>
  <si>
    <t>Намский у, Ленский н-г, с. Намцы, ул. Ржевская, д. 5</t>
  </si>
  <si>
    <t>г. Нерюнгри, пр-кт Геологов, д. 71</t>
  </si>
  <si>
    <t>г. Нерюнгри, пр-кт Геологов, д. 81 кор.3</t>
  </si>
  <si>
    <t>г. Нерюнгри, пр-кт Дружбы Народов, д. 8</t>
  </si>
  <si>
    <t>г. Нерюнгри, пр-кт Дружбы Народов, д. 10</t>
  </si>
  <si>
    <t>г. Нерюнгри, пр-кт Дружбы Народов, д. 10 кор.2</t>
  </si>
  <si>
    <t>г. Нерюнгри, пр-кт Дружбы Народов, д. 18</t>
  </si>
  <si>
    <t>г. Нерюнгри, пр-кт Дружбы Народов, д. 20</t>
  </si>
  <si>
    <t>г. Нерюнгри, пр-кт Дружбы Народов, д. 25</t>
  </si>
  <si>
    <t>г. Нерюнгри, пр-кт Дружбы Народов, д. 27 кор.2</t>
  </si>
  <si>
    <t>г. Нерюнгри, пр-кт Ленина, д. 1 кор.1</t>
  </si>
  <si>
    <t>г. Нерюнгри, пр-кт Ленина, д. 1 кор.2</t>
  </si>
  <si>
    <t>г. Нерюнгри, пр-кт Мира, д. 15</t>
  </si>
  <si>
    <t>г. Нерюнгри, пр-кт Мира, д. 15 кор.2</t>
  </si>
  <si>
    <t>г. Нерюнгри, пр-кт Мира, д. 15 кор.3</t>
  </si>
  <si>
    <t>г. Нерюнгри, пр-кт Мира, д. 19 кор.1</t>
  </si>
  <si>
    <t>г. Нерюнгри, пр-кт Мира, д. 19 кор.2</t>
  </si>
  <si>
    <t>г. Нерюнгри, пр-кт Мира, д. 21 кор.2</t>
  </si>
  <si>
    <t>г. Нерюнгри, пр-кт Мира, д. 27 кор.2</t>
  </si>
  <si>
    <t>г. Нерюнгри, пр-кт Мира, д. 29</t>
  </si>
  <si>
    <t>г. Нерюнгри, ул. Аммосова, д. 4</t>
  </si>
  <si>
    <t>г. Нерюнгри, ул. Аммосова, д. 6 кор.1</t>
  </si>
  <si>
    <t>г. Нерюнгри, ул. Аммосова, д. 10 кор.1</t>
  </si>
  <si>
    <t>г. Нерюнгри, ул. Аммосова, д. 12</t>
  </si>
  <si>
    <t>г. Нерюнгри, ул. им Кравченко, д. 9 кор.1</t>
  </si>
  <si>
    <t>г. Нерюнгри, ул. им Кравченко, д. 14</t>
  </si>
  <si>
    <t>г. Нерюнгри, ул. им Кравченко, д. 25</t>
  </si>
  <si>
    <t>г. Нерюнгри, ул. Карла Маркса, д. 1 кор.3</t>
  </si>
  <si>
    <t>г. Нерюнгри, ул. Карла Маркса, д. 1 кор.4</t>
  </si>
  <si>
    <t>г. Нерюнгри, ул. Карла Маркса, д. 19 кор.1</t>
  </si>
  <si>
    <t>г. Нерюнгри, ул. Карла Маркса, д. 20</t>
  </si>
  <si>
    <t>г. Нерюнгри, ул. Лужников, д. 3 кор.1</t>
  </si>
  <si>
    <t>г. Нерюнгри, ул. Чурапчинская, д. 39</t>
  </si>
  <si>
    <t>г. Нерюнгри, ул. Южно-Якутская, д. 39 кор.1</t>
  </si>
  <si>
    <t>п. Беркакит, п. Беркакит (г Нерюнгри), ул. Мусы Джалиля, д. 13</t>
  </si>
  <si>
    <t>п. Чульман, п. Чульман (г Нерюнгри), ул. Гагарина, д. 27</t>
  </si>
  <si>
    <t>п. Чульман, п. Чульман (г Нерюнгри), ул. Островского, д. 18А</t>
  </si>
  <si>
    <t>п. Чульман, п. Чульман (г Нерюнгри), ул. Островского, д. 18Б</t>
  </si>
  <si>
    <t>Нижнеколымский у, п. Черский, ул. Молодежная, д. 4</t>
  </si>
  <si>
    <t>Хангаласский у, г. Покровск, ул. Братьев Ксенофонтовых, д. 9</t>
  </si>
  <si>
    <t>Хангаласский у, г. Покровск, ул. Южная, д. 6</t>
  </si>
  <si>
    <t>Хангаласский у, Немюгинский н-г, с. Ой, ул. Горького, д. 22 кор.1</t>
  </si>
  <si>
    <t>Хангаласский у, п. Мохсоголлох, ул. Молодежная, д. 18</t>
  </si>
  <si>
    <t>Хангаласский у, п. Мохсоголлох, ул. Соколиная, д. 3</t>
  </si>
  <si>
    <t>Хангаласский у, п. Мохсоголлох, ул. Соколиная, д. 5</t>
  </si>
  <si>
    <t>Хангаласский у, п. Мохсоголлох, ул. Соколиная, д. 6</t>
  </si>
  <si>
    <t>Хангаласский у, п. Мохсоголлох, ул. Соколиная, д. 21</t>
  </si>
  <si>
    <t>Алданский у, п. Нижний Куранах, мкр. 1-й, д. 10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</si>
  <si>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</si>
  <si>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</si>
  <si>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ул. Нагорная, д. 103</t>
  </si>
  <si>
    <t>МО "Саскылахский национальный (эвенкийский) наслег"</t>
  </si>
  <si>
    <t>МО "Борогонский 2 наслег"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</si>
  <si>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</si>
  <si>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>средства собственников</t>
  </si>
  <si>
    <t>взносы за 2021 год</t>
  </si>
  <si>
    <t>чел.</t>
  </si>
  <si>
    <t>руб./кв.м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</si>
  <si>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</si>
  <si>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</si>
  <si>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</si>
  <si>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</si>
  <si>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</si>
  <si>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</si>
  <si>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</si>
  <si>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</si>
  <si>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</si>
  <si>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</si>
  <si>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</si>
  <si>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</si>
  <si>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</si>
  <si>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2022</t>
  </si>
  <si>
    <t>Алданский у, г. Алдан, ул. 50 лет ВЛКСМ, д. 5</t>
  </si>
  <si>
    <t>1966</t>
  </si>
  <si>
    <t>Алданский у, г. Алдан, ул. 50 лет ВЛКСМ, д. 6</t>
  </si>
  <si>
    <t>Алданский у, г. Алдан, ул. 50 лет ВЛКСМ, д. 8</t>
  </si>
  <si>
    <t>1969</t>
  </si>
  <si>
    <t>1964</t>
  </si>
  <si>
    <t>1967</t>
  </si>
  <si>
    <t>1968</t>
  </si>
  <si>
    <t>1962</t>
  </si>
  <si>
    <t>1961</t>
  </si>
  <si>
    <t>+('Приложение №1'!J98+9</t>
  </si>
  <si>
    <t>1954</t>
  </si>
  <si>
    <t>1959</t>
  </si>
  <si>
    <t>1965</t>
  </si>
  <si>
    <t>1960</t>
  </si>
  <si>
    <t>ГО "Поселок Жатай"</t>
  </si>
  <si>
    <t>МО "Город Удачный"</t>
  </si>
  <si>
    <t>2001</t>
  </si>
  <si>
    <t>1984</t>
  </si>
  <si>
    <t>0</t>
  </si>
  <si>
    <t>2000</t>
  </si>
  <si>
    <t>МО "Поселок Черский"</t>
  </si>
  <si>
    <t>СП "Бестяхский наслег"</t>
  </si>
  <si>
    <t>1980</t>
  </si>
  <si>
    <t>МО "Октемский наслег"</t>
  </si>
  <si>
    <t>ГП "Поселок Мохсоголлох"</t>
  </si>
  <si>
    <t>Алданский у, п. Нижний Куранах, ул. Юбилейная, д. 15 СЕКЦ.А</t>
  </si>
  <si>
    <t>МО "Город Вилюйск"</t>
  </si>
  <si>
    <t>1957</t>
  </si>
  <si>
    <t>2005</t>
  </si>
  <si>
    <t>Приложение № 4 к приказу</t>
  </si>
  <si>
    <t>Приложение № 3 к приказу</t>
  </si>
  <si>
    <t>Мирнинский у, г. Мирный, ул. Ленина, д. 23</t>
  </si>
  <si>
    <t>Кредиторская задолженность за 2021 год</t>
  </si>
  <si>
    <t>г. Нерюнгри, пр-кт Дружбы Народов, д. 8 кор.2</t>
  </si>
  <si>
    <t>г. Якутск, ул. Курашова, д. 19</t>
  </si>
  <si>
    <t>г. Якутск, ул. Лермонтова, д. 166 кор.2</t>
  </si>
  <si>
    <t>г. Якутск, ул. Ярославского, д. 35</t>
  </si>
  <si>
    <t>ГО Жатай, п. Жатай, ул. Северная, д. 21</t>
  </si>
  <si>
    <t>МО "Поселок Алмазный"</t>
  </si>
  <si>
    <t>МО "Жиганский эвенкийский национальный наслег"</t>
  </si>
  <si>
    <t>МО "Село Майя"</t>
  </si>
  <si>
    <t>МО "Поселок Сангар"</t>
  </si>
  <si>
    <t>МО "Тюгясирский наслег"</t>
  </si>
  <si>
    <t>г. Якутск, ул. Стадухина, д. 80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</si>
  <si>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</si>
  <si>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</si>
  <si>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</si>
  <si>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</si>
  <si>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ул. Дзержинского, д. 21</t>
  </si>
  <si>
    <t>г. Якутск, ул. Дежнева, д. 75</t>
  </si>
  <si>
    <t>г. Якутск, ул. Орджоникидзе, д. 46</t>
  </si>
  <si>
    <t>г. Якутск, ул. Кузьмина, д. 34</t>
  </si>
  <si>
    <t>г. Якутск, ул. Лермонтова, д. 107</t>
  </si>
  <si>
    <t>г. Якутск, ул. Лермонтова, д. 109</t>
  </si>
  <si>
    <t>г. Якутск, ул. Лермонтова, д. 111</t>
  </si>
  <si>
    <t>г. Якутск, ул. Лермонтова, д. 113</t>
  </si>
  <si>
    <t>г. Якутск, ул. Лермонтова, д. 117</t>
  </si>
  <si>
    <t>г. Якутск, ул. Лонгинова, д. 38</t>
  </si>
  <si>
    <t>г. Якутск, ул. Можайского, д. 17</t>
  </si>
  <si>
    <t>г. Якутск, ул. Маяковского, д. 96</t>
  </si>
  <si>
    <t>г. Якутск, ул. Ярославского, д. 41</t>
  </si>
  <si>
    <t>ГО Жатай, ул. Северная, д. 21</t>
  </si>
  <si>
    <t>Алданский у, г. Томмот, ул. Семенова, д. 15</t>
  </si>
  <si>
    <t>Анабарский у, с. Саскылах, ул. Октябрьская, д. 7</t>
  </si>
  <si>
    <t>у. Анабарский, с. Саскылах, ул. Октябрьская, д. 7</t>
  </si>
  <si>
    <t>Жиганский у, с. Жиганск, ул. Ойунского, д. 21</t>
  </si>
  <si>
    <t>Жиганский у, с. Жиганск, ул. Ойунского, д. 20</t>
  </si>
  <si>
    <t>Кобяйский у, пгт. Сангар, ул. Советская, д. 4</t>
  </si>
  <si>
    <t>Мегино-Кангаласский у, с. Майя, ул. Степанова, д. 26</t>
  </si>
  <si>
    <t>Мирнинский у, г. Мирный, ул. Ленина, д. 26</t>
  </si>
  <si>
    <t>Мирнинский у, г. Мирный, ул. Логовая, д. 156</t>
  </si>
  <si>
    <t>Мирнинский у, п. Алмазный, ул. Гагарина, д. 10</t>
  </si>
  <si>
    <t>Мирнинский у, п. Алмазный, ул. Гагарина, д. 12</t>
  </si>
  <si>
    <t>Мирнинский у, п. Алмазный, ул. Гагарина, д. 14</t>
  </si>
  <si>
    <t>Мирнинский у, п. Алмазный, ул. Гагарина, д. 16</t>
  </si>
  <si>
    <t>Мирнинский у, п. Алмазный, ул. Октябрьская, д. 18</t>
  </si>
  <si>
    <t>Мирнинский у, г. Удачный, ул. Мира, д. 12</t>
  </si>
  <si>
    <t>Мирнинский у, г. Удачный, ул. Мира, д. 14</t>
  </si>
  <si>
    <t>Намский у, с. Намцы, ул. Чернышевского, д. 30</t>
  </si>
  <si>
    <t>у. Намский, с. Намцы, ул. Чернышевского, д. 30</t>
  </si>
  <si>
    <t>Оймяконский у, пгт. Усть-Нера, ул. Мацкепладзе, д. 15</t>
  </si>
  <si>
    <t>у. Оймяконский, пгт. Усть-Нера, ул. Мацкепладзе, д. 15</t>
  </si>
  <si>
    <t>Оймяконский у, пгт. Усть-Нера, ул. Мацкепладзе, д. 16</t>
  </si>
  <si>
    <t>у. Оймяконский, пгт. Усть-Нера, ул. Мацкепладзе, д. 16</t>
  </si>
  <si>
    <t>Оймяконский у, с. Куйдусун, д. 3</t>
  </si>
  <si>
    <t>у. Оймяконский, с. Куйдусун, д. 3</t>
  </si>
  <si>
    <t>Оленекский эвенкийский национальный у, с. Оленек, ул. Боескорова, д. 47</t>
  </si>
  <si>
    <t>Чурапчинский у, с. Чурапча, ул. Ленина, д. 39</t>
  </si>
  <si>
    <t>у. Чурапчинский, с. Чурапча, ул. Ленина, д. 39</t>
  </si>
  <si>
    <t>Эвено-Бытантайский Национальный у, с. Батагай-Алыта, ул. Школьная, д. 13</t>
  </si>
  <si>
    <t>Эвено-Бытантайский Национальный у, с. Батагай-Алыта, ул. Школьная, д. 2</t>
  </si>
  <si>
    <t>Министерства ЖКХ и энергетики РС(Я)</t>
  </si>
  <si>
    <t>по РПКР перенос на 25-27</t>
  </si>
  <si>
    <t>все СС сделать!НЮИ</t>
  </si>
  <si>
    <t>г. Якутск, ул. Октябрьская, д. 16</t>
  </si>
  <si>
    <t>г. Якутск, ул. Октябрьская, д. 20</t>
  </si>
  <si>
    <t>г. Якутск, ул. Октябрьская, д. 28</t>
  </si>
  <si>
    <t>г. Якутск, ул. Ильменская, д. 63</t>
  </si>
  <si>
    <t>г. Якутск, ул. Каландаришвили, д. 27</t>
  </si>
  <si>
    <t>ГО Жатай, п. Жатай, ул. Северная, д. 33/1</t>
  </si>
  <si>
    <t>ГО Жатай, п. Жатай, ул. Северная, д. 44</t>
  </si>
  <si>
    <t>ГО Жатай, п. Жатай, ул. Северная, д. 48</t>
  </si>
  <si>
    <t>г. Якутск, ул. Тимирязева, д. 41</t>
  </si>
  <si>
    <t>МО "Поселок Усть-Куйга"</t>
  </si>
  <si>
    <t>Усть-Янский у, п. Усть-Куйза, ул. Зеленая, д. 21</t>
  </si>
  <si>
    <t>Хангаласский у, с. Октемцы, ул. Моисеева, д. 11</t>
  </si>
  <si>
    <t>Хангаласский у, г. Покровск, ул.Орджоникидзе, д. 22</t>
  </si>
  <si>
    <t>г. Якутск, мкр. Кангалассы, ул. Комсомольская, д. 3А</t>
  </si>
  <si>
    <t>Хангаласский у., с. Ой, ул. Эркээни, д. 40</t>
  </si>
  <si>
    <t>2180/900 письмо об аварий</t>
  </si>
  <si>
    <t>СК за ГБ и ЗС, ПСД СС</t>
  </si>
  <si>
    <t>ПСД за ГБ</t>
  </si>
  <si>
    <t>ПСД и СК за ГБ</t>
  </si>
  <si>
    <t>2022-2024 г.г.</t>
  </si>
  <si>
    <t>Авансы северным районам</t>
  </si>
  <si>
    <t>г. Якутск, мкр. Птицефабрика, д. 6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</si>
  <si>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</si>
  <si>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</si>
  <si>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п Золотинка, п. Золотинка (г Нерюнгри), ул. Железнодорожная, д. 2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</si>
  <si>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</si>
  <si>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</si>
  <si>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п Золотинка, п. Золотинка (г Нерюнгри), ул. Железнодорожная, д. 1</t>
  </si>
  <si>
    <t>п. Серебряный Бор, (г Нерюнгри), д. 120</t>
  </si>
  <si>
    <t>п. Серебряный Бор, (г Нерюнгри), д. 14</t>
  </si>
  <si>
    <t>п. Серебряный Бор, (г Нерюнгри), д. 208</t>
  </si>
  <si>
    <t>п. Серебряный Бор, (г Нерюнгри), д. 118</t>
  </si>
  <si>
    <t>п. Чульман (г Нерюнгри), ул. Островского, д. 18б</t>
  </si>
  <si>
    <t>п. Чульман (г Нерюнгри), ул. Островского, д. 12</t>
  </si>
  <si>
    <t>п. Чульман (г Нерюнгри), ул. Школьная, д. 12</t>
  </si>
  <si>
    <t>п. Чульман (г Нерюнгри), ул. Новая, д. 2</t>
  </si>
  <si>
    <t>п. Чульман (г Нерюнгри), ул. Первомайская, д. 11</t>
  </si>
  <si>
    <t>п. Чульман (г Нерюнгри), ул. Советская, д. 79</t>
  </si>
  <si>
    <t>г. Нерюнгри, пр-кт. Геологов, д. 43</t>
  </si>
  <si>
    <t>г. Нерюнгри, пр-кт. Дружбы Народов, д. 20</t>
  </si>
  <si>
    <t>г. Нерюнгри, пр-кт. Ленина, д. 4</t>
  </si>
  <si>
    <t>г. Нерюнгри, пр-кт. Мира, д. 15</t>
  </si>
  <si>
    <t>г. Нерюнгри, пр-кт. Мира, д. 5 СПЕЦСЧЕТ</t>
  </si>
  <si>
    <t>г. Нерюнгри, ул. Аммосова, д. 2 СПЕЦСЧЕТ</t>
  </si>
  <si>
    <t>г. Нерюнгри, ул. Южно-Якутская, д. 32</t>
  </si>
  <si>
    <t>г. Нерюнгри, пр-кт. Геологов, д. 59</t>
  </si>
  <si>
    <t>г. Нерюнгри, пр-кт. Геологов, д. 61</t>
  </si>
  <si>
    <t>г. Нерюнгри, пр-кт. Дружбы Народов, д. 33</t>
  </si>
  <si>
    <t>г. Нерюнгри, пр-кт. Дружбы Народов, д. 5</t>
  </si>
  <si>
    <t>г. Нерюнгри, ул. Чурапчинская, д. 36</t>
  </si>
  <si>
    <t>г. Нерюнгри, ул. Чурапчинская, д. 38</t>
  </si>
  <si>
    <t>г. Нерюнгри, ул. Южно-Якутская, д. 31</t>
  </si>
  <si>
    <t>г. Нерюнгри, ул. Южно-Якутская, д. 34</t>
  </si>
  <si>
    <t>г. Нерюнгри, ул. Южно-Якутская, д. 40</t>
  </si>
  <si>
    <t>г. Нерюнгри, ул. Южно-Якутская, д. 42</t>
  </si>
  <si>
    <t>г. Нерюнгри, пр-кт. Ленина, д. 15</t>
  </si>
  <si>
    <t>г. Нерюнгри, ул. Аммосова, д. 14</t>
  </si>
  <si>
    <t>г. Нерюнгри, ул. Карла Маркса, д. 25</t>
  </si>
  <si>
    <t>г. Нерюнгри, пр-кт. Дружбы Народов, д. 8</t>
  </si>
  <si>
    <t>г. Нерюнгри, пр-кт. Дружбы Народов, д. 10</t>
  </si>
  <si>
    <t>г. Нерюнгри, пр-кт. Дружбы Народов, д. 17</t>
  </si>
  <si>
    <t>г. Нерюнгри, пр-кт. Дружбы Народов, д. 29</t>
  </si>
  <si>
    <t>г. Нерюнгри, пр-кт. Ленина, д. 7</t>
  </si>
  <si>
    <t>г. Нерюнгри, пр-кт. Ленина, д. 1</t>
  </si>
  <si>
    <t>г. Нерюнгри, пр-кт. Мира, д. 3</t>
  </si>
  <si>
    <t>г. Нерюнгри, пр-кт. Мира, д. 31</t>
  </si>
  <si>
    <t>г. Нерюнгри, ул. Аммосова, д. 10</t>
  </si>
  <si>
    <t>г. Нерюнгри, ул. им Кравченко, д. 18</t>
  </si>
  <si>
    <t>г. Нерюнгри, ул. им Кравченко, д. 3</t>
  </si>
  <si>
    <t>г. Нерюнгри, ул. Карла Маркса, д. 14 СПЕЦСЧЕТ</t>
  </si>
  <si>
    <t>г. Нерюнгри, ул. Лужников, д. 3</t>
  </si>
  <si>
    <t>г. Нерюнгри, ул. Строителей, д. 3</t>
  </si>
  <si>
    <t>г. Нерюнгри, ул. Тимптонская, д. 1</t>
  </si>
  <si>
    <t>г. Нерюнгри, ул. Платона Ойунского, д. 2</t>
  </si>
  <si>
    <t>г. Нерюнгри, ул. Платона Ойунского, д. 3</t>
  </si>
  <si>
    <t>г. Нерюнгри, ул. Чурапчинская, д. 50</t>
  </si>
  <si>
    <t>г. Нерюнгри, ул. Чурапчинская, д. 54</t>
  </si>
  <si>
    <t>г. Нерюнгри, ул. Южно-Якутская, д. 35</t>
  </si>
  <si>
    <t>г. Нерюнгри, ул. Южно-Якутская, д. 41</t>
  </si>
  <si>
    <t>г. Нерюнгри, ул. Южно-Якутская, д. 43</t>
  </si>
  <si>
    <t>г. Нерюнгри, пр-кт Дружбы Народов, д. 9</t>
  </si>
  <si>
    <t>п. Беркакит (г Нерюнгри), ул. Дорожников, д. 4</t>
  </si>
  <si>
    <t>п. Беркакит (г Нерюнгри), ул. Башарина, д. 3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</si>
  <si>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</si>
  <si>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</si>
  <si>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Мусы Джалиля, д. 3</t>
  </si>
  <si>
    <t>п. Беркакит (г Нерюнгри), ул. Мусы Джалиля, д. 5</t>
  </si>
  <si>
    <t>г. Якутск, мкр. Марха, кв-л. Мелиораторов, д. 9</t>
  </si>
  <si>
    <t>г. Якутск, мкр. Птицефабрика, д. 7</t>
  </si>
  <si>
    <t>г. Якутск, с. Кильдямцы, ул. Уваровского, д. 1</t>
  </si>
  <si>
    <t>г. Якутск, с. Кильдямцы, ул. Труда, д. 52</t>
  </si>
  <si>
    <t>г. Якутск, с. Кильдямцы, ул. Труда, д. 54</t>
  </si>
  <si>
    <t>г. Якутск, пр-кт. Ленина, д. 7</t>
  </si>
  <si>
    <t>г. Якутск, пр-кт. Ленина, д. 9</t>
  </si>
  <si>
    <t>г. Якутск, пр-кт Ленина, д. 25</t>
  </si>
  <si>
    <t>г. Якутск, пр-кт Ленина, д. 29</t>
  </si>
  <si>
    <t>г. Якутск, пр-кт. Ленина, д. 37</t>
  </si>
  <si>
    <t>г. Якутск, пр-кт. Ленина, д. 38</t>
  </si>
  <si>
    <t>г. Якутск, пр-кт. Ленина, д. 44</t>
  </si>
  <si>
    <t>г. Якутск, ул. Билибина, д. 12</t>
  </si>
  <si>
    <t>г. Якутск, ул. Дзержинского, д. 3</t>
  </si>
  <si>
    <t>г. Якутск, ул. Кирова, д. 31 кор.1</t>
  </si>
  <si>
    <t>г. Якутск, ул. Короленко, д. 17</t>
  </si>
  <si>
    <t>г. Якутск, ул. Лермонтова, д. 24</t>
  </si>
  <si>
    <t>г. Якутск, ул. Можайского, д. 21</t>
  </si>
  <si>
    <t>г. Якутск, ул. Октябрьская, д. 5</t>
  </si>
  <si>
    <t>г. Якутск, ул. Орджоникидзе, д. 45</t>
  </si>
  <si>
    <t>г. Якутск, ул. Петровского, д. 23</t>
  </si>
  <si>
    <t>г. Якутск, ул. Пояркова, д. 10</t>
  </si>
  <si>
    <t>г. Якутск, ул. Сосновая, д. 2</t>
  </si>
  <si>
    <t>г. Якутск, ул. Хабарова, д. 21</t>
  </si>
  <si>
    <t>г. Якутск, ул. Хабарова, д. 27</t>
  </si>
  <si>
    <t>г. Якутск, ул. Чиряева, д. 4</t>
  </si>
  <si>
    <t>г. Якутск, ул. Чиряева, д. 8</t>
  </si>
  <si>
    <t>г. Якутск, ул. Ярославского, д. 11</t>
  </si>
  <si>
    <t>г. Якутск, ул. Ярославского, д. 24</t>
  </si>
  <si>
    <t>г. Якутск, ул. Ярославского, д. 9</t>
  </si>
  <si>
    <t>г. Якутск, пр-кт. Ленина, д. 21</t>
  </si>
  <si>
    <t>г. Якутск, пр-кт. Ленина, д. 36</t>
  </si>
  <si>
    <t>г. Якутск, ул. Горького, д. 92</t>
  </si>
  <si>
    <t>г. Якутск, ул. Горького, д. 98</t>
  </si>
  <si>
    <t>г. Якутск, ул. Дзержинского, д. 15</t>
  </si>
  <si>
    <t>г. Якутск, ул. Дзержинского, д. 15 кор.1</t>
  </si>
  <si>
    <t>г. Якутск, ул. Дзержинского, д. 19</t>
  </si>
  <si>
    <t>г. Якутск, ул. Лермонтова, д. 20</t>
  </si>
  <si>
    <t>г. Якутск, ул. Лермонтова, д. 22</t>
  </si>
  <si>
    <t>г. Якутск, ул. Лермонтова, д. 29</t>
  </si>
  <si>
    <t>г. Якутск, ул. Маяковского, д. 98</t>
  </si>
  <si>
    <t>г. Якутск, ул. Можайского, д. 15</t>
  </si>
  <si>
    <t>г. Якутск, ул. Октябрьская, д. 18</t>
  </si>
  <si>
    <t>г. Якутск, ул. Орджоникидзе, д. 39</t>
  </si>
  <si>
    <t>г. Якутск, ул. Петра Алексеева, д. 10</t>
  </si>
  <si>
    <t>г. Якутск, ул. Петра Алексеева, д. 12</t>
  </si>
  <si>
    <t>г. Якутск, ул. Петра Алексеева, д. 8</t>
  </si>
  <si>
    <t>г. Якутск, ул. Пояркова, д. 8</t>
  </si>
  <si>
    <t>г. Якутск, ул. Хабарова, д. 3</t>
  </si>
  <si>
    <t>г. Якутск, ул. Хабарова, д. 7</t>
  </si>
  <si>
    <t>г. Якутск, ул. Халтурина, д. 6</t>
  </si>
  <si>
    <t>г. Якутск, ул. Чернышевского, д. 8 корп.1</t>
  </si>
  <si>
    <t>г. Якутск, ул. Чиряева, д. 1</t>
  </si>
  <si>
    <t>г. Якутск, ул. Якова Потапова, д. 6</t>
  </si>
  <si>
    <t>г. Якутск, ул. Якова Потапова, д. 6 корп.1</t>
  </si>
  <si>
    <t>г. Якутск, ул. Ярославского, д. 4</t>
  </si>
  <si>
    <t>г. Якутск, ул. Ярославского, д. 13</t>
  </si>
  <si>
    <t>г. Якутск, мкр. Кангалассы, ул. 26 партсъезда, д. 4</t>
  </si>
  <si>
    <t>г. Якутск, с. Маган, ул. 40 лет Победы, д. 60</t>
  </si>
  <si>
    <t>г. Якутск, с. Хатассы, ул. Каландарашвили, д. 4</t>
  </si>
  <si>
    <t>г. Якутск, с. Хатассы, ул. Ленина, д. 67</t>
  </si>
  <si>
    <t>г. Якутск, мкр. 202-й, д. 16</t>
  </si>
  <si>
    <t>г. Якутск, мкр. 202-й, д. 18</t>
  </si>
  <si>
    <t>г. Якутск, мкр. 202-й, д. 19</t>
  </si>
  <si>
    <t>г. Якутск, пр-кт. Ленина, д. 11</t>
  </si>
  <si>
    <t>г. Якутск, ул. Билибина, д. 50</t>
  </si>
  <si>
    <t>г. Якутск, ул. Воинская, д. 9</t>
  </si>
  <si>
    <t>г. Якутск, ул. Горького, д. 94</t>
  </si>
  <si>
    <t>г. Якутск, ул. Дзержинского, д. 16</t>
  </si>
  <si>
    <t>г. Якутск, ул. Дзержинского, д. 40</t>
  </si>
  <si>
    <t>г. Якутск, ул. Дзержинского, д. 7</t>
  </si>
  <si>
    <t>г. Якутск, ул. Дзержинского, д. 8</t>
  </si>
  <si>
    <t>г. Якутск, ул. Кирова, д. 34</t>
  </si>
  <si>
    <t>г. Якутск, ул. Короленко, д. 7</t>
  </si>
  <si>
    <t>г. Якутск, ул. Кузьмина, д. 10</t>
  </si>
  <si>
    <t>г. Якутск, ул. Кузьмина, д. 14</t>
  </si>
  <si>
    <t>г. Якутск, ул. Лермонтова, д. 94 кор.3</t>
  </si>
  <si>
    <t>г. Якутск, ул. Лермонтова, д. 138 кор.2</t>
  </si>
  <si>
    <t>г. Якутск, ул. Лермонтова, д. 138 кор.3</t>
  </si>
  <si>
    <t>г. Якутск, ул. Лермонтова, д. 138 кор.4</t>
  </si>
  <si>
    <t>г. Якутск, ул. Ойунского, д. 25</t>
  </si>
  <si>
    <t>г. Якутск, ул. Ойунского, д. 41</t>
  </si>
  <si>
    <t>г. Якутск, ул. Хабарова, д. 9</t>
  </si>
  <si>
    <t>г. Якутск, ул. Хабарова, д. 19</t>
  </si>
  <si>
    <t>г. Якутск, ул. Хабарова, д. 23 кор.1</t>
  </si>
  <si>
    <t>г. Якутск, ул. Хабарова, д. 27 кор.1</t>
  </si>
  <si>
    <t>г. Якутск, ул. Хабарова, д. 27 кор.3</t>
  </si>
  <si>
    <t>г. Якутск, ул. Халтурина, д. 2</t>
  </si>
  <si>
    <t>г. Якутск, ул. Чернышевского, д. 12</t>
  </si>
  <si>
    <t>г. Якутск, ул. Ярославского, д. 32</t>
  </si>
  <si>
    <t>г. Якутск, ул. Ярославского, д. 7</t>
  </si>
  <si>
    <t>г. Якутск, ш. Сергеляхское 13 км, д. 1</t>
  </si>
  <si>
    <t>г. Якутск, ул. Федора Попова, д. 14 кор.4</t>
  </si>
  <si>
    <t>г. Якутск, ул. Федора Попова, д. 16 кор.5</t>
  </si>
  <si>
    <t>ГО Жатай, п. Жатай, ул. Северная, д. 21/1</t>
  </si>
  <si>
    <t>ГО Жатай, п. Жатай, ул. Северная, д. 33</t>
  </si>
  <si>
    <t>ГО Жатай, п. Жатай, ул. Северная, д. 37</t>
  </si>
  <si>
    <t>ГО Жатай, п. Жатай, ул. Северная, д. 37/1</t>
  </si>
  <si>
    <t>ГО Жатай, п. Жатай, ул. Северная, д. 54</t>
  </si>
  <si>
    <t>Алданский у, г. Томмот, ул. Крупской, д. 6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</si>
  <si>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</si>
  <si>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</si>
  <si>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19</t>
  </si>
  <si>
    <t>Алданский у, г. Томмот, пер. Якутский, д. 13</t>
  </si>
  <si>
    <t>Алданский у, п. Нижний Куранах, ул. Строительная, д. 18</t>
  </si>
  <si>
    <t>Алданский у, п. Нижний Куранах, ул. Строительная, д. 2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</si>
  <si>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</si>
  <si>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</si>
  <si>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4</t>
  </si>
  <si>
    <t>Алданский у, п. Нижний Куранах, ул. Строительная, д. 1-в</t>
  </si>
  <si>
    <t>Алданский у, п. Нижний Куранах, ул. Строительная, д. 6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</si>
  <si>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</si>
  <si>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</si>
  <si>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</si>
  <si>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г. Алдан, ул. Пролетарская, д. 49</t>
  </si>
  <si>
    <t>Алданский у, п. Ленинский, ул. Карла Маркса, д. 16</t>
  </si>
  <si>
    <t>Верхнеколымский у, п. Зырянка, ул. Леликова, д. 8</t>
  </si>
  <si>
    <t>Верхнеколымский у, п. Зырянка, ул. Победы, д. 20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</si>
  <si>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</si>
  <si>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9</t>
  </si>
  <si>
    <t>Булунский у, п. Тикси 3-й, ул. Полярной Авиации, д. 8</t>
  </si>
  <si>
    <t>Булунский у, п. Тикси, ул. 50 лет Севморпути, д. 6</t>
  </si>
  <si>
    <t>Булунский у, п. Тикси, ул. Академика Федорова, д. 28а</t>
  </si>
  <si>
    <t>Булунский у, п. Тикси, ул. Академика Федорова, д. 38</t>
  </si>
  <si>
    <t>Булунский у, п. Тикси, ул. Гагарина, д. 3</t>
  </si>
  <si>
    <t>Булунский у, п. Тикси, ул. Гагарина, д. 8а</t>
  </si>
  <si>
    <t>Булунский у, п. Тикси, ул. Ленинская, д. 17</t>
  </si>
  <si>
    <t>Булунский у, п. Тикси, ул. Ленинская, д. 21</t>
  </si>
  <si>
    <t>Булунский у, п. Тикси, ул. Ленинская, д. 2а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</si>
  <si>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</si>
  <si>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</si>
  <si>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</si>
  <si>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Трусова, д. 2а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</si>
  <si>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</si>
  <si>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</si>
  <si>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11</t>
  </si>
  <si>
    <t>Булунский у, п. Тикси, ул. Трусова, д. 14</t>
  </si>
  <si>
    <t>Ленский у, г. Ленск, ул. Ойунского, д. 23 кор.А</t>
  </si>
  <si>
    <t>Ленский у, г. Ленск, ул. Первомайская, д. 18</t>
  </si>
  <si>
    <t>Ленский у, г. Ленск, ул. Победы, д. 22</t>
  </si>
  <si>
    <t>Ленский у, г. Ленск, ул. Пролетарская, д. 17</t>
  </si>
  <si>
    <t>Ленский у, г. Ленск, ул. Дзержинского, д. 27</t>
  </si>
  <si>
    <t>Ленский у, г. Ленск, ул. Дзержинского, д. 19</t>
  </si>
  <si>
    <t>Ленский у, г. Ленск, ул. Дзержинского, д. 21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</si>
  <si>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</si>
  <si>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</si>
  <si>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</si>
  <si>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</si>
  <si>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</si>
  <si>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20</t>
  </si>
  <si>
    <t>Ленский у, г. Ленск, ул. Пролетарская, д. 5</t>
  </si>
  <si>
    <t>Ленский у, г. Ленск, ул. Дзержинского, д. 25</t>
  </si>
  <si>
    <t>Ленский у, г. Ленск, ул. Ленина, д. 73</t>
  </si>
  <si>
    <t>Ленский у, г. Ленск, ул. Первомайская, д. 10</t>
  </si>
  <si>
    <t>Ленский у, г. Ленск, ул. Первомайская, д. 5</t>
  </si>
  <si>
    <t>Ленский у, г. Ленск, ул. Первомайская, д. 9</t>
  </si>
  <si>
    <t>Ленский у, г. Ленск, ул. Пролетарская, д. 3</t>
  </si>
  <si>
    <t>Мирнинский у, г. Мирный, ул. Ойунского, д. 13</t>
  </si>
  <si>
    <t>Мирнинский у, г. Мирный, ул. Ойунского, д. 15</t>
  </si>
  <si>
    <t>Мирнинский у, г. Мирный, ул. Ойунского, д. 21</t>
  </si>
  <si>
    <t>Мирнинский у, г. Мирный, ул. Павлова, д. 10</t>
  </si>
  <si>
    <t>Мирнинский у, г. Мирный, ул. Советская, д. 19</t>
  </si>
  <si>
    <t>Мирнинский у, г. Мирный, ул. Солдатова, д. 6</t>
  </si>
  <si>
    <t>Мирнинский у, г. Мирный, ул. Солдатова, д. 3</t>
  </si>
  <si>
    <t>Мирнинский у, г. Мирный, ул. Тихонова, д. 8</t>
  </si>
  <si>
    <t>Мирнинский у, г. Мирный, ш. 50 лет Октября, д. 7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</si>
  <si>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</si>
  <si>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</si>
  <si>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21</t>
  </si>
  <si>
    <t>Мирнинский у, г. Мирный, ул. Солдатова, д. 12</t>
  </si>
  <si>
    <t>Мирнинский у, г. Мирный, ул. Солдатова, д. 16</t>
  </si>
  <si>
    <t>Мирнинский у, г. Мирный, ул. Тихонова, д. 12</t>
  </si>
  <si>
    <t>Мирнинский у, г. Мирный, ул. Тихонова, д. 29/4</t>
  </si>
  <si>
    <t>Мирнинский у, г. Мирный, ш. 50 лет Октября, д. 1</t>
  </si>
  <si>
    <t>Мирнинский у, г. Мирный, пр-кт. Ленинградский, д. 19</t>
  </si>
  <si>
    <t>Мирнинский у, г. Мирный, ул. Аммосова, д. 100</t>
  </si>
  <si>
    <t>Мирнинский у, г. Мирный, ул. Ленина, д. 22 кор.А</t>
  </si>
  <si>
    <t>Мирнинский у, г. Мирный, ул. Солдатова, д. 2</t>
  </si>
  <si>
    <t>Мирнинский у, г. Мирный, ул. Тихонова, д. 14</t>
  </si>
  <si>
    <t>Мирнинский у, г. Мирный, ш. 50 лет Октября, д. 14 кор.1</t>
  </si>
  <si>
    <t>Нижнеколымский у, п. Черский, ул. Котельникова, д. 9</t>
  </si>
  <si>
    <t>Нижнеколымский у, п. Черский, ул. Таврата, д. 11</t>
  </si>
  <si>
    <t>Нижнеколымский у, п. Черский, ул. Таврата, д. 13</t>
  </si>
  <si>
    <t>Нижнеколымский у, п. Черский, ул. Таврата, д. 15</t>
  </si>
  <si>
    <t>Нижнеколымский у, п. Черский, ул. Таврата, д. 12</t>
  </si>
  <si>
    <t>Нижнеколымский у, п. Черский, ул. Пушкина, д. 9</t>
  </si>
  <si>
    <t>Нижнеколымский у, п. Черский, ул. Пушкина, д. 15</t>
  </si>
  <si>
    <t>Нюрбинский у, г. Нюрба, кв-л. Энергетик, д. 67</t>
  </si>
  <si>
    <t>Нюрбинский у, г. Нюрба, кв-л. Энергетик, д. 71</t>
  </si>
  <si>
    <t>Нюрбинский у, г. Нюрба, кв-л. Энергетик, д. 73</t>
  </si>
  <si>
    <t>Нюрбинский у, г. Нюрба, кв-л. Энергетик, д. 75</t>
  </si>
  <si>
    <t>Нюрбинский у, г. Нюрба, кв-л. Энергетик, д. 9</t>
  </si>
  <si>
    <t>Нюрбинский у, г. Нюрба, кв-л. Энергетик, д. 7</t>
  </si>
  <si>
    <t>Олекминский у, г. Олёкминск, ул. Калинина, д. 2</t>
  </si>
  <si>
    <t>Томпонский у, п Хандыга, п. Хандыга, ул. Лесная, д. 16</t>
  </si>
  <si>
    <t>Томпонский у, п Хандыга, п. Хандыга, ул. П.Алексеева, д. 4</t>
  </si>
  <si>
    <t>Томпонский у, п Хандыга, п. Хандыга, ул. П.Алексеева, д. 6</t>
  </si>
  <si>
    <t>Томпонский у, п Хандыга, п. Хандыга, ул. П.Алексеева, д. 2</t>
  </si>
  <si>
    <t>Томпонский у, п Хандыга, п. Хандыга, ул. Геолога Кудрявого, д. 32</t>
  </si>
  <si>
    <t>Томпонский у, п Хандыга, п. Хандыга, ул. Магаданская, д. 30</t>
  </si>
  <si>
    <t>Оймяконский у, п Усть-Нера, ул. Андрианова, д. 2</t>
  </si>
  <si>
    <t>Оймяконский у, п Усть-Нера, ул. Андрианова, д. 6</t>
  </si>
  <si>
    <t>Оймяконский у, п Усть-Нера, ул. Ленина, д. 27</t>
  </si>
  <si>
    <t>Оймяконский у, п Усть-Нера, ул. Мацкепладзе, д. 20</t>
  </si>
  <si>
    <t>Оймяконский у, п Усть-Нера, ул. Молодежная, д. 2</t>
  </si>
  <si>
    <t>Оймяконский у, п Усть-Нера, ул. Молодежная, д. 3</t>
  </si>
  <si>
    <t>Усть-Майский у, п. Эльдикан, ул. Алданская, д. 81</t>
  </si>
  <si>
    <t>Усть-Майский у, п. Эльдикан, ул. Куйбышева, д. 34</t>
  </si>
  <si>
    <t>Усть-Майский у, п. Эльдикан, ул. Победы, д. 1</t>
  </si>
  <si>
    <t>Усть-Майский у, п. Эльдикан, ул. Рабочая, д. 8</t>
  </si>
  <si>
    <t>Усть-Майский у, п. Эльдикан, ул. Рабочая, д. 12</t>
  </si>
  <si>
    <t>Усть-Майский у, с. Петропавловск, ул. Строда, д. 21</t>
  </si>
  <si>
    <t>Усть-Майский у, п. Эльдикан, ул. Куйбышева, д. 30</t>
  </si>
  <si>
    <t>Усть-Майский у, п. Солнечный, ул. Профсоюзов, д. 6</t>
  </si>
  <si>
    <t>Хангаласский у, г. Покровск, ул. Орджоникидзе, д. 20</t>
  </si>
  <si>
    <t>Хангаласский у, г. Покровск, ул. Таежная, д. 3</t>
  </si>
  <si>
    <t>Хангаласский у, г. Покровск, ул. Таежная, д. 5</t>
  </si>
  <si>
    <t>Хангаласский у, п. Мохсоголлох, ул. Соколиная, д. 11</t>
  </si>
  <si>
    <t>Хангаласский у, п. Мохсоголлох, ул. Соколиная, д. 13</t>
  </si>
  <si>
    <t>Хангаласский у, п. Мохсоголлох, ул. Соколиная, д. 8</t>
  </si>
  <si>
    <t>Хангаласский у, п. Мохсоголлох, ул. Заводская, д. 1</t>
  </si>
  <si>
    <t>Хангаласский у, п. Мохсоголлох, ул. Молодежная, д. 20</t>
  </si>
  <si>
    <t>Хангаласский у, п. Мохсоголлох, ул. Молодежная, д. 22</t>
  </si>
  <si>
    <t>Хангаласский у, п. Мохсоголлох, ул. Соколиная, д. 12</t>
  </si>
  <si>
    <t>Хангаласский у, п. Мохсоголлох, ул. Соколиная, д. 16</t>
  </si>
  <si>
    <t>Хангаласский у, п. Мохсоголлох, ул. Соколиная, д. 2</t>
  </si>
  <si>
    <t>Хангаласский у, п. Мохсоголлох, ул. Соколиная, д. 22</t>
  </si>
  <si>
    <t>Хангаласский у, г. Покровск, ул. Братьев Ксенофонтовых, д. 10</t>
  </si>
  <si>
    <t>Хангаласский у, г. Покровск, ул. Орджоникидзе, д. 22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</si>
  <si>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</si>
  <si>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</si>
  <si>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п. Мохсоголлох, ул. Военный городок, д. 7</t>
  </si>
  <si>
    <t>Хангаласский у, п. Мохсоголлох, ул. Советская, д. 5</t>
  </si>
  <si>
    <t>Хангаласский у, п. Мохсоголлох, ул. Соколиная, д. 10</t>
  </si>
  <si>
    <t>Хангаласский у, п. Мохсоголлох, ул. Соколиная, д. 20</t>
  </si>
  <si>
    <t>Чурапчинский у, Чурапчинский н-г, с. Чурапча, ул. Ленина, д. 39</t>
  </si>
  <si>
    <t>Усть-Янский у, п. Депутатский, мкр. Арктика, д. 11</t>
  </si>
  <si>
    <t>Усть-Янский у, п. Депутатский, мкр. Арктика, д. 13</t>
  </si>
  <si>
    <t>Усть-Янский у, п. Депутатский, мкр. Арктика, д. 15</t>
  </si>
  <si>
    <t>Усть-Янский у, п. Депутатский, мкр. Арктика, д. 2</t>
  </si>
  <si>
    <t>Усть-Янский у, п. Депутатский, мкр. Арктика, д. 21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</si>
  <si>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</si>
  <si>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</si>
  <si>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25</t>
  </si>
  <si>
    <t>Усть-Янский у, п. Депутатский, мкр. Арктика, д. 24</t>
  </si>
  <si>
    <t>Усть-Янский у, п. Депутатский, мкр. Арктика, д. 8</t>
  </si>
  <si>
    <t>Усть-Алданский у, Мюрюнский н-г, с. Борогонцы, ул. Ленина, д. 34 ЧС</t>
  </si>
  <si>
    <t>Усть-Алданский у, Мюрюнский н-г, с. Борогонцы, ул. Лонгинова, д. 37 кор.1 ЧС</t>
  </si>
  <si>
    <t>Алданский у, п. Лебединый, ул. Карла Маркса, д. 20</t>
  </si>
  <si>
    <t>Алданский у, п. Лебединый, ул. Октябрьская, д. 36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</si>
  <si>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</si>
  <si>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</si>
  <si>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</si>
  <si>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</si>
  <si>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</si>
  <si>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</si>
  <si>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п. Беркакит (г Нерюнгри), ул. Мусы Джалиля, д. 13</t>
  </si>
  <si>
    <t>п. Серебряный Бор (г Нерюнгри), д. 14</t>
  </si>
  <si>
    <t>п. Серебряный Бор (г Нерюнгри), д. 118</t>
  </si>
  <si>
    <t>п. Серебряный Бор (г Нерюнгри), д. 120</t>
  </si>
  <si>
    <t>п. Серебряный Бор (г Нерюнгри), д. 197</t>
  </si>
  <si>
    <t>п. Серебряный Бор (г Нерюнгри), д. 208</t>
  </si>
  <si>
    <t>п. Серебряный Бор (г Нерюнгри), д. 277</t>
  </si>
  <si>
    <t>п. Чульман (г Нерюнгри), ул. Гагарина, д. 27</t>
  </si>
  <si>
    <t>п. Чульман (г Нерюнгри), ул. Островского, д. 18А</t>
  </si>
  <si>
    <t>п. Чульман (г Нерюнгри), ул. Островского, д. 18Б</t>
  </si>
  <si>
    <t>п. Чульман (г Нерюнгри) ул. Советская, д. 30</t>
  </si>
  <si>
    <t>п. Чульман (г Нерюнгри) ул. Островского, д. 4</t>
  </si>
  <si>
    <t>п. Чульман (г Нерюнгри) ул. Островского, д. 8</t>
  </si>
  <si>
    <t>п. Чульман (г Нерюнгри) ул. Островского, д. 10</t>
  </si>
  <si>
    <t>п. Чульман (г Нерюнгри) ул. Советская, д. 38</t>
  </si>
  <si>
    <t>п. Чульман (г Нерюнгри) ул. Циолковского, д. 2</t>
  </si>
  <si>
    <t>п. Чульман (г Нерюнгри) ул. Циолковского, д. 7</t>
  </si>
  <si>
    <t>п. Чульман (г Нерюнгри) ул. Гагарина, д. 27</t>
  </si>
  <si>
    <t>п. Чульман (г Нерюнгри) ул. Островского, д. 18А</t>
  </si>
  <si>
    <t>п. Чульман (г Нерюнгри) ул. Островского, д. 18Б</t>
  </si>
  <si>
    <t>п. Серебряный Бор (г Нерюнгри) д. 14</t>
  </si>
  <si>
    <t>п. Серебряный Бор (г Нерюнгри) д. 118</t>
  </si>
  <si>
    <t>п. Серебряный Бор (г Нерюнгри) д. 120</t>
  </si>
  <si>
    <t>п. Серебряный Бор (г Нерюнгри) д. 197</t>
  </si>
  <si>
    <t>п. Серебряный Бор (г Нерюнгри) д. 208</t>
  </si>
  <si>
    <t>п. Серебряный Бор (г Нерюнгри) д. 277</t>
  </si>
  <si>
    <t>п. Золотинка (г Нерюнгри), ул. Железнодорожная, д. 1</t>
  </si>
  <si>
    <t>ГП "Поселок Хани"</t>
  </si>
  <si>
    <t>СП "Мюрюнский наслег"</t>
  </si>
  <si>
    <t>ГП "Поселок Хандыга"</t>
  </si>
  <si>
    <t>СП "Немюгюнский наслег"!</t>
  </si>
  <si>
    <t>МО "Поселок Депутатский" спецсчет</t>
  </si>
  <si>
    <t>ГП "Поселок Хани""</t>
  </si>
  <si>
    <t>СП "Качикатский наслег"</t>
  </si>
  <si>
    <t>МО "Оленекский национальный  наслег"</t>
  </si>
  <si>
    <t>от  "____" ______ 2023 г. № ______-ОД</t>
  </si>
  <si>
    <t>п. Беркакит (г Нерюнгри), ул. Школьная, д. 7</t>
  </si>
  <si>
    <t>Ленский у, г. Ленск, ул. Победы, д. 19 кор.А</t>
  </si>
  <si>
    <t>2008</t>
  </si>
  <si>
    <t>Ленский у, г. Ленск, ул. Портовская, д. 24</t>
  </si>
  <si>
    <t>Верхнеколымский у, п. Зырянка, ул. Прокопьева А.Е., д. 3</t>
  </si>
  <si>
    <t>2010</t>
  </si>
  <si>
    <t>Абыйский у, п. Белая Гора, ул. Строителей, д. 14</t>
  </si>
  <si>
    <t>Абыйский у, п. Белая Гора, ул. Строителей, д. 11 кор.1</t>
  </si>
  <si>
    <t>Абыйский у, п. Белая Гора, ул. Строителей, д. 11 кор.2</t>
  </si>
  <si>
    <t>1562814,89 изм ГБ</t>
  </si>
  <si>
    <t>от "____" ______ 2023 г. № ______-ОД</t>
  </si>
  <si>
    <t>Мирнинский у, п. Светлый, ул. Вилюйская, д. 1</t>
  </si>
  <si>
    <t>Мирнинский у, п. Светлый, ул. Вилюйская, д. 2</t>
  </si>
  <si>
    <t>Мирнинский у, п. Светлый, ул. Советская, д. 2</t>
  </si>
  <si>
    <t>Мирнинский у, п. Светлый, ул. Гидростроителей, д. 3</t>
  </si>
  <si>
    <t>Мирнинский у, п. Светлый, ул. Молодежная, д. 11</t>
  </si>
  <si>
    <t>Хангаласский у, Немюгинский н-г, с. Ой, ул. Горького, д. 22</t>
  </si>
  <si>
    <t>Мирнинский у, п. Айхал, ул. Советская, д. 15</t>
  </si>
  <si>
    <t>Мирнинский у, п. Светлый, ул. Гидростроителей, д. 1</t>
  </si>
  <si>
    <t>Мирнинский у, п. Светлый, ул. Гидростроителей, д. 2</t>
  </si>
  <si>
    <t>Мирнинский у, п. Чернышевский, ул. Гидростроителей, д. 24</t>
  </si>
  <si>
    <t>Мирнинский у, п. Чернышевский, ул. Космонавтов, д. 10/2</t>
  </si>
  <si>
    <t>г. Якутск, мкр. Марха, тракт Маганский 2 км, д. 3</t>
  </si>
  <si>
    <t>г. Якутск, мкр. Марха, тракт Маганский 2 км, д. 2</t>
  </si>
  <si>
    <t>г. Якутск, мкр. Марха, тракт Маганский 2 км, д. 1</t>
  </si>
  <si>
    <t>п. Чульман (г Нерюнгри), ул. Островского, д. 6 кор. а</t>
  </si>
  <si>
    <t>г. Нерюнгри, пр-кт. Геологов, д. 49 кор. 1</t>
  </si>
  <si>
    <t>г. Нерюнгри, пр-кт. Геологов, д. 81 кор. 2 СПЕЦСЧЕТ</t>
  </si>
  <si>
    <t>г. Нерюнгри, пр-кт. Дружбы Народов, д. 16 кор. 1</t>
  </si>
  <si>
    <t>г. Нерюнгри, пр-кт. Дружбы Народов, д. 29 кор. 1</t>
  </si>
  <si>
    <t>г. Нерюнгри, пр-кт. Дружбы Народов, д. 3 кор. 1 СПЕЦСЧЕТ</t>
  </si>
  <si>
    <t>г. Нерюнгри, пр-кт. Мира, д. 15 кор. 2</t>
  </si>
  <si>
    <t>г. Нерюнгри, пр-кт. Мира, д. 15 кор. 3</t>
  </si>
  <si>
    <t>г. Нерюнгри, пр-кт. Мира, д. 17 кор. 1</t>
  </si>
  <si>
    <t>г. Нерюнгри, пр-кт. Мира, д. 19 кор. 1</t>
  </si>
  <si>
    <t>г. Нерюнгри, пр-кт. Мира, д. 19 кор. 2</t>
  </si>
  <si>
    <t>г. Нерюнгри, ул. Аммосова, д. 10 кор. 1</t>
  </si>
  <si>
    <t>г. Нерюнгри, ул. Аммосова, д. 6 кор. 1</t>
  </si>
  <si>
    <t>г. Нерюнгри, ул. им Кравченко, д. 20 кор. 1</t>
  </si>
  <si>
    <t>г. Нерюнгри, ул. Карла Маркса, д. 1 кор. 1</t>
  </si>
  <si>
    <t>г. Нерюнгри, ул. Южно-Якутская, д. 43 кор. 1 СПЕЦСЧЕТ</t>
  </si>
  <si>
    <t>г. Якутск, мкр. Марха, ул. Есенина, д. 5 кор. 1</t>
  </si>
  <si>
    <t>г. Якутск, мкр. Марха, ул. О.Кошевого, д. 67 кор. 1</t>
  </si>
  <si>
    <t>г. Якутск, пр-кт. Ленина, д. 11 кор. 2</t>
  </si>
  <si>
    <t>г. Якутск, ул. Автодорожная, д. 40 кор. 5</t>
  </si>
  <si>
    <t>г. Якутск, ул. Автодорожная, д. 40 кор. 6</t>
  </si>
  <si>
    <t>г. Якутск, ул. Автодорожная, д. 40 кор. 7</t>
  </si>
  <si>
    <t>г. Якутск, ул. Богатырева, д. 11 кор. 1</t>
  </si>
  <si>
    <t>г. Якутск, ул. Дзержинского, д. 8 кор. 2</t>
  </si>
  <si>
    <t>г. Якутск, ул. Каландаришвили, д. 25 кор. 2</t>
  </si>
  <si>
    <t>г. Якутск, ул. Каландаришвили, д. 38 кор. 2</t>
  </si>
  <si>
    <t>г. Якутск, ул. Каландаришвили, д. 38 кор. 3</t>
  </si>
  <si>
    <t>г. Якутск, ул. Каландаришвили, д. 40 кор. 1</t>
  </si>
  <si>
    <t>г. Якутск, ул. Каландаришвили, д. 40 кор. 4</t>
  </si>
  <si>
    <t>г. Якутск, ул. Каландаришвили, д. 40 кор. 7</t>
  </si>
  <si>
    <t>г. Якутск, ул. Каландаришвили, д. 40 кор. 8</t>
  </si>
  <si>
    <t>г. Якутск, ул. Космонавтов, д. 17 кор. 1</t>
  </si>
  <si>
    <t>г. Якутск, ул. Кулаковского, д. 4 кор. 1</t>
  </si>
  <si>
    <t>г. Якутск, ул. Кулаковского, д. 4 кор. 2</t>
  </si>
  <si>
    <t>г. Якутск, ул. Кулаковского, д. 4 кор. 3</t>
  </si>
  <si>
    <t>г. Якутск, ул. Курашова, д. 1 кор. 1</t>
  </si>
  <si>
    <t>г. Якутск, ул. Можайского, д. 17 кор. 5</t>
  </si>
  <si>
    <t>г. Якутск, ул. Можайского, д. 17 кор. 6</t>
  </si>
  <si>
    <t>г. Якутск, ул. Можайского, д. 19 кор. 1</t>
  </si>
  <si>
    <t>г. Якутск, ул. Можайского, д. 21 кор. 1</t>
  </si>
  <si>
    <t>г. Якутск, ул. Октябрьская, д. 26 кор. 1</t>
  </si>
  <si>
    <t>г. Якутск, ул. Октябрьская, д. 26 кор. 2</t>
  </si>
  <si>
    <t>г. Якутск, ул. Октябрьская, д. 26 кор. 3</t>
  </si>
  <si>
    <t>г. Якутск, ул. Петра Алексеева, д. 21 кор. 5</t>
  </si>
  <si>
    <t>г. Якутск, ул. Петра Алексеева, д. 49 кор. 1</t>
  </si>
  <si>
    <t>г. Якутск, ул. Петра Алексеева, д. 6 кор. 2</t>
  </si>
  <si>
    <t>г. Якутск, ул. Петра Алексеева, д. 8 кор. 1</t>
  </si>
  <si>
    <t>г. Якутск, ул. Петра Алексеева, д. 81 кор. 1</t>
  </si>
  <si>
    <t>г. Якутск, ул. Петра Алексеева, д. 83 кор. 18</t>
  </si>
  <si>
    <t>г. Якутск, ул. Петровского, д. 21 кор. 1</t>
  </si>
  <si>
    <t>г. Якутск, ул. Петровского, д. 23 кор. 1</t>
  </si>
  <si>
    <t>г. Якутск, ул. Халтурина, д. 11 кор. 2</t>
  </si>
  <si>
    <t>г. Якутск, ул. Чернышевского, д. 12 кор. 1</t>
  </si>
  <si>
    <t>г. Якутск, ул. Чернышевского, д. 4 кор. 1</t>
  </si>
  <si>
    <t>г. Якутск, ул. Чернышевского, д. 8 кор. 1</t>
  </si>
  <si>
    <t>г. Якутск, ул. Ярославского, д. 30 кор. 1</t>
  </si>
  <si>
    <t>г. Якутск, ул. Ярославского, д. 5 кор. 1</t>
  </si>
  <si>
    <t>г. Якутск, ул. Ярославского, д. 7 кор. 1</t>
  </si>
  <si>
    <t>Мирнинский у, г. Мирный, пр-кт. Ленинградский, д. 1 кор. 1</t>
  </si>
  <si>
    <t>Мирнинский у, г. Мирный, ул. Комсомольская, д. 4 кор. а</t>
  </si>
  <si>
    <t>Мирнинский у, г. Мирный, ул. Советская, д. 13 кор. 1</t>
  </si>
  <si>
    <t>Мирнинский у, г. Мирный, ул. Советская, д. 15 кор. 1</t>
  </si>
  <si>
    <t>Мирнинский у, г. Мирный, ул. Тихонова, д. 12 кор. 2</t>
  </si>
  <si>
    <t>Мирнинский у, г. Мирный, ш. 50 лет Октября, д. 12 кор. 1</t>
  </si>
  <si>
    <t>Нижнеколымский у, п. Черский, ул. Молодежная, д. 6 кор. 2</t>
  </si>
  <si>
    <t>г. Якутск, ул. Стадухина, д. 84 кор. 1 ЧС</t>
  </si>
  <si>
    <t>п. Беркакит (г Нерюнгри), ул. Бочкарева, д. 4 кор. 1</t>
  </si>
  <si>
    <t>п. Беркакит (г Нерюнгри), ул. Бочкарева, д. 4 кор. 2</t>
  </si>
  <si>
    <t>г. Нерюнгри, пр-кт. Дружбы Народов, д. 10 кор. 1</t>
  </si>
  <si>
    <t>г. Нерюнгри, пр-кт. Дружбы Народов, д. 29 кор. 2</t>
  </si>
  <si>
    <t>г. Нерюнгри, пр-кт. Дружбы Народов, д. 29 кор. 3</t>
  </si>
  <si>
    <t>г. Нерюнгри, пр-кт. Дружбы Народов, д. 8 кор. 1</t>
  </si>
  <si>
    <t>г. Нерюнгри, пр-кт. Мира, д. 21 кор. 1</t>
  </si>
  <si>
    <t>г. Нерюнгри, ул. Аммосова, д. 14 кор. 1</t>
  </si>
  <si>
    <t>г. Нерюнгри, ул. Лужников, д. 3 кор. 1</t>
  </si>
  <si>
    <t>г. Нерюнгри, ул. Тимптонская, д. 7 кор. 1</t>
  </si>
  <si>
    <t>г. Нерюнгри, ул. Тимптонская, д. 7 кор. 2</t>
  </si>
  <si>
    <t>г. Нерюнгри, ул. Чурапчинская, д. 8 кор. 1</t>
  </si>
  <si>
    <t>г. Якутск, с. Хатассы, ул. Каландарашвили, д. 4 кор. 1</t>
  </si>
  <si>
    <t>г. Якутск, с. Хатассы, ул. Ленина, д. 67 кор. 1</t>
  </si>
  <si>
    <t>г. Якутск, ул. Автодорожная, д. 28 кор. 15</t>
  </si>
  <si>
    <t>г. Якутск, ул. Дзержинского, д. 13 кор. 1</t>
  </si>
  <si>
    <t>г. Якутск, ул. Дзержинского, д. 22 кор. 6</t>
  </si>
  <si>
    <t>г. Якутск, ул. Дзержинского, д. 7 кор. 1</t>
  </si>
  <si>
    <t>г. Якутск, ул. Дзержинского, д. 8 кор. 3</t>
  </si>
  <si>
    <t>г. Якутск, ул. Каландаришвили, д. 25 кор. 6</t>
  </si>
  <si>
    <t>г. Якутск, ул. Каландаришвили, д. 40 кор. 5</t>
  </si>
  <si>
    <t>г. Якутск, ул. Каландаришвили, д. 40 кор. 6</t>
  </si>
  <si>
    <t>г. Якутск, ул. Лермонтова, д. 29 кор. 1</t>
  </si>
  <si>
    <t>г. Якутск, ул. Лермонтова, д. 92 кор. 2</t>
  </si>
  <si>
    <t>г. Якутск, ул. Можайского, д. 17 кор. 4</t>
  </si>
  <si>
    <t>г. Якутск, ул. Можайского, д. 17 кор. 1</t>
  </si>
  <si>
    <t>г. Якутск, ул. Можайского, д. 19 кор. 4</t>
  </si>
  <si>
    <t>г. Якутск, ул. Ново-Карьерная, д. 20 кор. 1</t>
  </si>
  <si>
    <t>г. Якутск, ул. Орджоникидзе, д. 46 кор. 1</t>
  </si>
  <si>
    <t>г. Якутск, ул. Орджоникидзе, д. 7 кор. 2</t>
  </si>
  <si>
    <t>г. Якутск, ул. Петра Алексеева, д. 12 кор. 1</t>
  </si>
  <si>
    <t>г. Якутск, ул. Петра Алексеева, д. 12 кор. 2</t>
  </si>
  <si>
    <t>г. Якутск, ул. Петра Алексеева, д. 4 кор. 1</t>
  </si>
  <si>
    <t>г. Якутск, ул. Петра Алексеева, д. 4 кор. 2</t>
  </si>
  <si>
    <t>г. Якутск, ул. Петра Алексеева, д. 4 кор. 3</t>
  </si>
  <si>
    <t>г. Якутск, ул. Семена Данилова, д. 4 кор. 2</t>
  </si>
  <si>
    <t>г. Якутск, ул. Федора Попова, д. 10 кор. 1</t>
  </si>
  <si>
    <t>г. Якутск, ул. Федора Попова, д. 14 кор. 1</t>
  </si>
  <si>
    <t>г. Якутск, ул. Чернышевского, д. 12 кор.1</t>
  </si>
  <si>
    <t>г. Якутск, ул. Ярославского, д. 19 кор. 1</t>
  </si>
  <si>
    <t>Мирнинский у, г. Мирный, ул. Ленина, д. 4 кор. 2</t>
  </si>
  <si>
    <t>Мирнинский у, г. Мирный, ул. Советская, д. 11 кор. 2</t>
  </si>
  <si>
    <t>Мирнинский у, г. Мирный, ул. Советская, д. 13 кор. 4</t>
  </si>
  <si>
    <t>Мирнинский у, г. Мирный, ул. Солдатова, д. 2 кор. 1</t>
  </si>
  <si>
    <t>г. Нерюнгри, пр-кт. Геологов, д. 55 кор. 2</t>
  </si>
  <si>
    <t>г. Нерюнгри, пр-кт. Геологов, д. 61 кор. 2</t>
  </si>
  <si>
    <t>г. Нерюнгри, пр-кт. Геологов, д. 75 кор. 2</t>
  </si>
  <si>
    <t>г. Нерюнгри, пр-кт. Дружбы Народов, д. 10 кор. 2</t>
  </si>
  <si>
    <t>г. Нерюнгри, пр-кт. Дружбы Народов, д. 14 кор. 1</t>
  </si>
  <si>
    <t>г. Нерюнгри, пр-кт. Дружбы Народов, д. 20 кор. 1</t>
  </si>
  <si>
    <t>г. Нерюнгри, пр-кт. Дружбы Народов, д. 25 кор. 2</t>
  </si>
  <si>
    <t>г. Нерюнгри, пр-кт. Дружбы Народов, д. 27 кор. 2</t>
  </si>
  <si>
    <t>г. Нерюнгри, пр-кт. Ленина, д. 16 кор. 2</t>
  </si>
  <si>
    <t>г. Нерюнгри, пр-кт. Ленина, д. 21 кор. 1</t>
  </si>
  <si>
    <t>г. Нерюнгри, пр-кт. Ленина, д. 25 кор. 1</t>
  </si>
  <si>
    <t>г. Нерюнгри, пр-кт. Мира, д. 21 кор. 2</t>
  </si>
  <si>
    <t>г. Нерюнгри, пр-кт. Мира, д. 25 кор. 1</t>
  </si>
  <si>
    <t>г. Нерюнгри, пр-кт. Мира, д. 3 кор. 1</t>
  </si>
  <si>
    <t>г. Нерюнгри, ул. Аммосова, д. 8 кор. 2</t>
  </si>
  <si>
    <t>г. Нерюнгри, ул. им Кравченко, д. 17 кор. 2</t>
  </si>
  <si>
    <t>г. Нерюнгри, ул. им Кравченко, д. 19 кор. 3</t>
  </si>
  <si>
    <t>г. Нерюнгри, ул. им Кравченко, д. 9 кор. 1</t>
  </si>
  <si>
    <t>г. Нерюнгри, ул. Карла Маркса, д. 19 кор. 1</t>
  </si>
  <si>
    <t>г. Нерюнгри, ул. Карла Маркса, д. 25 кор. 1</t>
  </si>
  <si>
    <t>г. Нерюнгри, ул. Карла Маркса, д. 27 кор. 2</t>
  </si>
  <si>
    <t>г. Нерюнгри, ул. Тимптонская, д. 3 кор. 1</t>
  </si>
  <si>
    <t>г. Нерюнгри, ул. Чурапчинская, д. 37 кор. 2</t>
  </si>
  <si>
    <t>г. Нерюнгри, ул. Южно-Якутская, д. 25 кор. 1</t>
  </si>
  <si>
    <t>г. Нерюнгри, ул. Южно-Якутская, д. 31 кор. 1</t>
  </si>
  <si>
    <t>г. Нерюнгри, ул. Южно-Якутская, д. 36 кор. 3</t>
  </si>
  <si>
    <t>г. Якутск, ул. Дзержинского, д. 12 кор. 3</t>
  </si>
  <si>
    <t>г. Якутск, ул. Дзержинского, д. 20 кор. 1</t>
  </si>
  <si>
    <t>г. Якутск, ул. Дзержинского, д. 20 кор. 2</t>
  </si>
  <si>
    <t>г. Якутск, ул. Дзержинского, д. 40 кор. 1</t>
  </si>
  <si>
    <t>г. Якутск, ул. Кузьмина, д. 16 кор. 1</t>
  </si>
  <si>
    <t>г. Якутск, ул. Лермонтова, д. 27 кор. 1</t>
  </si>
  <si>
    <t>г. Якутск, ул. Лермонтова, д. 58 кор. 2</t>
  </si>
  <si>
    <t>г. Якутск, ул. Можайского, д. 19 кор. 3</t>
  </si>
  <si>
    <t>г. Якутск, ул. Ново-Карьерная, д. 20 кор. 2</t>
  </si>
  <si>
    <t>г. Якутск, ул. Ойунского, д. 20 кор. 1</t>
  </si>
  <si>
    <t>г. Якутск, ул. Орджоникидзе, д. 44 кор. 1</t>
  </si>
  <si>
    <t>г. Якутск, ул. Петра Алексеева, д. 73 кор. 2</t>
  </si>
  <si>
    <t>г. Якутск, ул. Федора Попова, д. 14 кор. 4</t>
  </si>
  <si>
    <t>г. Якутск, ул. Федора Попова, д. 16 кор. 5 СПЕЦСЧЕТ</t>
  </si>
  <si>
    <t>г. Якутск, ул. Халтурина, д. 6 кор. 1</t>
  </si>
  <si>
    <t>г. Якутск, ул. Чернышевского, д. 22 кор. 3</t>
  </si>
  <si>
    <t>Алданский у, п. Лебединый, ул. Карла Маркса, д. 20 кор. А</t>
  </si>
  <si>
    <t>Мирнинский у, г. Мирный, пр-кт. Ленинградский, д. 21 кор. 1</t>
  </si>
  <si>
    <t>Мирнинский у, г. Мирный, ул. Аммосова, д. 96 кор. 1</t>
  </si>
  <si>
    <t>Мирнинский у, г. Мирный, ул. Аммосова, д. 98 кор. 1</t>
  </si>
  <si>
    <t>Мирнинский у, г. Мирный, ул. Комсомольская, д. 25 кор. а</t>
  </si>
  <si>
    <t>Мирнинский у, г. Мирный, ул. Ленина, д. 10 кор. а</t>
  </si>
  <si>
    <t>Мирнинский у, г. Мирный, ул. Советская, д. 15 кор. 2</t>
  </si>
  <si>
    <t>Мирнинский у, г. Мирный, ул. Тихонова, д. 29 кор. 1</t>
  </si>
  <si>
    <t>Мирнинский у, г. Мирный, ул. Тихонова, д. 29 кор. 2</t>
  </si>
  <si>
    <t>Мирнинский у, г. Мирный, ул. Тихонова, д. 29 кор. 3</t>
  </si>
  <si>
    <t>Мирнинский у, г. Мирный, ул. Тихонова, д. 3 кор. 2</t>
  </si>
  <si>
    <t>Мирнинский у, г. Мирный, ш. 50 лет Октября, д. 16 кор. 1</t>
  </si>
  <si>
    <t>Нюрбинский у, г. Нюрба, кв-л. Энергетик, д. 67 кор. 1</t>
  </si>
  <si>
    <t>Хангаласский у, п. Мохсоголлох, ул. Молодежная, д. 20 кор. а</t>
  </si>
  <si>
    <t>г. Якутск, ул. Стадухина, д. 84 кор. 1</t>
  </si>
  <si>
    <t>г. Нерюнгри, пр-кт. Дружбы Народов, д. 8 кор. 2</t>
  </si>
  <si>
    <t>г. Якутск, ул. Каландаришвили, д. 25 кор. 1</t>
  </si>
  <si>
    <t>г. Якутск, ул. Каландаришвили, д. 25 кор. 8</t>
  </si>
  <si>
    <t>г. Якутск, ул. Каландаришвили, д. 38 кор. 1</t>
  </si>
  <si>
    <t>г. Якутск, ул. Каландаришвили, д. 38 кор. 4</t>
  </si>
  <si>
    <t>г. Якутск, ул. Каландаришвили, д. 40 кор. 2</t>
  </si>
  <si>
    <t>г. Якутск, ул. Каландаришвили, д. 40 кор. 3</t>
  </si>
  <si>
    <t>г. Якутск, ул. Кальвица, д. 9 кор. 2</t>
  </si>
  <si>
    <t>г. Якутск, ул. им. Д.Д. Красильникова, д. 9 кор. 5</t>
  </si>
  <si>
    <t>г. Якутск, ул. Кирова, д. 17 кор. 1</t>
  </si>
  <si>
    <t>г. Якутск, ул. Кирова, д. 21 кор. 2</t>
  </si>
  <si>
    <t>г. Якутск, ул. Кирова, д. 7 кор. 2</t>
  </si>
  <si>
    <t>г. Якутск, ул. Кирова, д. 7 кор. 3</t>
  </si>
  <si>
    <t>г. Якутск, ул. Кирова, д. 7 кор. 4</t>
  </si>
  <si>
    <t>г. Якутск, ул. Ойунского, д. 20 кор. 2</t>
  </si>
  <si>
    <t>г. Якутск, ул. Кузьмина, д. 26 кор. 3</t>
  </si>
  <si>
    <t>г. Якутск, ул. Кузьмина, д. 34 кор. 1</t>
  </si>
  <si>
    <t>г. Якутск, ул. Лермонтова, д. 156 кор. 2</t>
  </si>
  <si>
    <t>г. Якутск, ул. Можайского, д. 17 кор. 2</t>
  </si>
  <si>
    <t>г. Якутск, ул. Можайского, д. 17 кор. 3</t>
  </si>
  <si>
    <t>г. Якутск, ул. Маяковского, д. 77 кор. 1</t>
  </si>
  <si>
    <t>г. Якутск, ул. Полины Осипенко, д. 8 кор. 5</t>
  </si>
  <si>
    <t>Мирнинский у, г. Мирный, ул. Ленина, д. 34 кор. б</t>
  </si>
  <si>
    <t>Мирнинский у, п. Алмазный, ул. Речная, д. 3 кор. А</t>
  </si>
  <si>
    <t>Мирнинский у, п. Чернышевский, ул. Гидростроителей, д. 20</t>
  </si>
  <si>
    <t>МО "Поселок Белая Гора"</t>
  </si>
  <si>
    <t>Завершения последнего капитального ремонта</t>
  </si>
  <si>
    <t>Водоснабжение</t>
  </si>
  <si>
    <t>от  "07" августа 2023 г. №   -ОД</t>
  </si>
  <si>
    <t>от  "07" августа 2023 г. № ______-ОД</t>
  </si>
  <si>
    <t>от "07" августа 2023 г. № ______-ОД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</si>
</sst>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#,##0.00_ ;[Red]\-#,##0.00\ "/>
    <numFmt numFmtId="167" formatCode="#,##0_ ;[Red]\-#,##0\ "/>
    <numFmt numFmtId="168" formatCode="#,##0.0000_ ;[Red]\-#,##0.0000\ "/>
    <numFmt numFmtId="169" formatCode="#,##0.0000000000"/>
    <numFmt numFmtId="170" formatCode="_-* #\ ##0.00_-;\-* #\ ##0.00_-;_-* &quot;-&quot;??_-;_-@_-"/>
    <numFmt numFmtId="171" formatCode="_-* #\ ##0.00\ _₽_-;\-* #\ ##0.00\ _₽_-;_-* &quot;-&quot;??\ _₽_-;_-@_-"/>
    <numFmt numFmtId="172" formatCode="#\ ##0.00_ ;[Red]\-#\ ##0.00\ "/>
    <numFmt numFmtId="173" formatCode="0.00_ ;[Red]\-0.00\ 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Arial"/>
      <family val="1"/>
      <charset val="204"/>
    </font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9">
    <xf numFmtId="0" fontId="0" fillId="0" borderId="0"/>
    <xf numFmtId="0" fontId="3" fillId="0" borderId="0"/>
    <xf numFmtId="0" fontId="10" fillId="0" borderId="0"/>
    <xf numFmtId="0" fontId="11" fillId="0" borderId="0"/>
    <xf numFmtId="0" fontId="13" fillId="0" borderId="0"/>
    <xf numFmtId="0" fontId="14" fillId="0" borderId="0"/>
    <xf numFmtId="0" fontId="3" fillId="0" borderId="0"/>
    <xf numFmtId="16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>
      <alignment vertical="top"/>
      <protection locked="0"/>
    </xf>
    <xf numFmtId="0" fontId="15" fillId="0" borderId="0">
      <alignment vertical="top"/>
      <protection locked="0"/>
    </xf>
    <xf numFmtId="0" fontId="11" fillId="0" borderId="0"/>
    <xf numFmtId="0" fontId="16" fillId="0" borderId="0"/>
    <xf numFmtId="0" fontId="11" fillId="0" borderId="0"/>
    <xf numFmtId="0" fontId="2" fillId="0" borderId="0"/>
    <xf numFmtId="0" fontId="1" fillId="0" borderId="0"/>
    <xf numFmtId="0" fontId="22" fillId="0" borderId="0"/>
    <xf numFmtId="0" fontId="10" fillId="0" borderId="0"/>
    <xf numFmtId="0" fontId="11" fillId="0" borderId="0"/>
    <xf numFmtId="0" fontId="23" fillId="0" borderId="0"/>
    <xf numFmtId="0" fontId="23" fillId="0" borderId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18">
    <xf numFmtId="0" fontId="0" fillId="0" borderId="0" xfId="0"/>
    <xf numFmtId="0" fontId="4" fillId="0" borderId="9" xfId="1" applyFont="1" applyBorder="1"/>
    <xf numFmtId="49" fontId="18" fillId="0" borderId="5" xfId="0" applyNumberFormat="1" applyFont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49" fontId="18" fillId="8" borderId="5" xfId="0" applyNumberFormat="1" applyFont="1" applyFill="1" applyBorder="1" applyAlignment="1">
      <alignment horizontal="left" vertical="center" wrapText="1"/>
    </xf>
    <xf numFmtId="4" fontId="19" fillId="3" borderId="5" xfId="0" applyNumberFormat="1" applyFont="1" applyFill="1" applyBorder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3" fontId="4" fillId="0" borderId="9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 vertical="center" wrapText="1"/>
    </xf>
    <xf numFmtId="49" fontId="18" fillId="3" borderId="1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173" fontId="4" fillId="0" borderId="0" xfId="1" applyNumberFormat="1" applyFont="1" applyFill="1" applyAlignment="1">
      <alignment vertical="center"/>
    </xf>
    <xf numFmtId="4" fontId="4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4" fontId="5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17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 wrapText="1"/>
    </xf>
    <xf numFmtId="4" fontId="13" fillId="0" borderId="5" xfId="4" applyNumberFormat="1" applyFill="1" applyBorder="1" applyAlignment="1">
      <alignment horizontal="righ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4" fontId="13" fillId="0" borderId="5" xfId="4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1" fillId="0" borderId="0" xfId="1" applyFont="1" applyFill="1" applyAlignment="1">
      <alignment horizontal="right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4" fontId="6" fillId="3" borderId="7" xfId="1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4" fontId="6" fillId="3" borderId="9" xfId="1" applyNumberFormat="1" applyFont="1" applyFill="1" applyBorder="1" applyAlignment="1">
      <alignment vertical="center" wrapText="1"/>
    </xf>
    <xf numFmtId="4" fontId="6" fillId="3" borderId="15" xfId="1" applyNumberFormat="1" applyFont="1" applyFill="1" applyBorder="1" applyAlignment="1">
      <alignment vertical="center" wrapText="1"/>
    </xf>
    <xf numFmtId="0" fontId="4" fillId="3" borderId="0" xfId="1" applyFont="1" applyFill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vertical="center" wrapText="1"/>
    </xf>
    <xf numFmtId="4" fontId="6" fillId="3" borderId="0" xfId="1" applyNumberFormat="1" applyFont="1" applyFill="1" applyAlignment="1">
      <alignment vertical="center" wrapText="1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4" fontId="7" fillId="0" borderId="9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/>
    </xf>
    <xf numFmtId="166" fontId="7" fillId="0" borderId="9" xfId="1" applyNumberFormat="1" applyFont="1" applyFill="1" applyBorder="1" applyAlignment="1">
      <alignment vertical="center"/>
    </xf>
    <xf numFmtId="166" fontId="7" fillId="0" borderId="10" xfId="1" applyNumberFormat="1" applyFont="1" applyFill="1" applyBorder="1" applyAlignment="1">
      <alignment vertical="center"/>
    </xf>
    <xf numFmtId="4" fontId="4" fillId="0" borderId="0" xfId="1" applyNumberFormat="1" applyFont="1" applyFill="1" applyAlignment="1">
      <alignment horizontal="center" vertical="center" wrapText="1"/>
    </xf>
    <xf numFmtId="172" fontId="4" fillId="0" borderId="9" xfId="1" applyNumberFormat="1" applyFont="1" applyFill="1" applyBorder="1" applyAlignment="1">
      <alignment vertical="center"/>
    </xf>
    <xf numFmtId="172" fontId="7" fillId="0" borderId="9" xfId="1" applyNumberFormat="1" applyFont="1" applyFill="1" applyBorder="1" applyAlignment="1">
      <alignment vertical="center"/>
    </xf>
    <xf numFmtId="172" fontId="7" fillId="0" borderId="1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4" fontId="7" fillId="0" borderId="20" xfId="1" applyNumberFormat="1" applyFont="1" applyFill="1" applyBorder="1" applyAlignment="1">
      <alignment vertical="center"/>
    </xf>
    <xf numFmtId="166" fontId="4" fillId="0" borderId="20" xfId="1" applyNumberFormat="1" applyFont="1" applyFill="1" applyBorder="1" applyAlignment="1">
      <alignment vertical="center"/>
    </xf>
    <xf numFmtId="0" fontId="7" fillId="3" borderId="9" xfId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4" fontId="8" fillId="3" borderId="9" xfId="1" applyNumberFormat="1" applyFont="1" applyFill="1" applyBorder="1" applyAlignment="1">
      <alignment vertical="center"/>
    </xf>
    <xf numFmtId="166" fontId="6" fillId="3" borderId="9" xfId="1" applyNumberFormat="1" applyFont="1" applyFill="1" applyBorder="1" applyAlignment="1">
      <alignment vertical="center"/>
    </xf>
    <xf numFmtId="166" fontId="6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4" fontId="7" fillId="0" borderId="7" xfId="1" applyNumberFormat="1" applyFont="1" applyFill="1" applyBorder="1" applyAlignment="1">
      <alignment vertical="center"/>
    </xf>
    <xf numFmtId="166" fontId="4" fillId="4" borderId="9" xfId="1" applyNumberFormat="1" applyFont="1" applyFill="1" applyBorder="1" applyAlignment="1">
      <alignment vertical="center"/>
    </xf>
    <xf numFmtId="4" fontId="7" fillId="0" borderId="17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166" fontId="4" fillId="9" borderId="9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166" fontId="4" fillId="10" borderId="9" xfId="1" applyNumberFormat="1" applyFont="1" applyFill="1" applyBorder="1" applyAlignment="1">
      <alignment vertical="center"/>
    </xf>
    <xf numFmtId="4" fontId="4" fillId="0" borderId="9" xfId="1" applyNumberFormat="1" applyFont="1" applyFill="1" applyBorder="1" applyAlignment="1">
      <alignment vertical="center"/>
    </xf>
    <xf numFmtId="166" fontId="4" fillId="0" borderId="1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3" borderId="8" xfId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4" fontId="6" fillId="3" borderId="0" xfId="1" applyNumberFormat="1" applyFont="1" applyFill="1" applyAlignment="1">
      <alignment vertical="center"/>
    </xf>
    <xf numFmtId="0" fontId="7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166" fontId="4" fillId="0" borderId="7" xfId="1" applyNumberFormat="1" applyFont="1" applyFill="1" applyBorder="1" applyAlignment="1">
      <alignment vertical="center"/>
    </xf>
    <xf numFmtId="166" fontId="7" fillId="0" borderId="7" xfId="1" applyNumberFormat="1" applyFont="1" applyFill="1" applyBorder="1" applyAlignment="1">
      <alignment vertical="center"/>
    </xf>
    <xf numFmtId="166" fontId="7" fillId="0" borderId="16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6" fillId="0" borderId="0" xfId="1" applyNumberFormat="1" applyFont="1" applyFill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 wrapText="1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center" vertical="center" wrapText="1"/>
    </xf>
    <xf numFmtId="3" fontId="6" fillId="3" borderId="9" xfId="1" applyNumberFormat="1" applyFont="1" applyFill="1" applyBorder="1" applyAlignment="1">
      <alignment horizontal="center" vertical="center" wrapText="1"/>
    </xf>
    <xf numFmtId="4" fontId="6" fillId="3" borderId="9" xfId="1" applyNumberFormat="1" applyFont="1" applyFill="1" applyBorder="1" applyAlignment="1">
      <alignment horizontal="center" vertical="center" wrapText="1"/>
    </xf>
    <xf numFmtId="4" fontId="6" fillId="3" borderId="21" xfId="1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169" fontId="4" fillId="3" borderId="0" xfId="1" applyNumberFormat="1" applyFont="1" applyFill="1" applyAlignment="1">
      <alignment horizontal="center" vertical="center" wrapText="1"/>
    </xf>
    <xf numFmtId="4" fontId="4" fillId="3" borderId="0" xfId="1" applyNumberFormat="1" applyFont="1" applyFill="1" applyAlignment="1">
      <alignment horizontal="center" vertical="center" wrapText="1"/>
    </xf>
    <xf numFmtId="0" fontId="4" fillId="0" borderId="8" xfId="1" applyFont="1" applyFill="1" applyBorder="1" applyAlignment="1">
      <alignment vertical="center"/>
    </xf>
    <xf numFmtId="0" fontId="4" fillId="0" borderId="9" xfId="1" applyFont="1" applyFill="1" applyBorder="1" applyAlignment="1">
      <alignment horizontal="center" vertical="center"/>
    </xf>
    <xf numFmtId="167" fontId="4" fillId="0" borderId="9" xfId="1" applyNumberFormat="1" applyFont="1" applyFill="1" applyBorder="1" applyAlignment="1">
      <alignment vertical="center"/>
    </xf>
    <xf numFmtId="168" fontId="4" fillId="0" borderId="9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166" fontId="4" fillId="0" borderId="0" xfId="1" applyNumberFormat="1" applyFont="1" applyFill="1" applyAlignment="1">
      <alignment vertical="center"/>
    </xf>
    <xf numFmtId="169" fontId="4" fillId="0" borderId="0" xfId="1" applyNumberFormat="1" applyFont="1" applyFill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" fontId="7" fillId="0" borderId="0" xfId="1" applyNumberFormat="1" applyFont="1" applyFill="1" applyAlignment="1">
      <alignment vertical="center"/>
    </xf>
    <xf numFmtId="166" fontId="7" fillId="0" borderId="0" xfId="1" applyNumberFormat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4" fillId="3" borderId="9" xfId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vertical="center"/>
    </xf>
    <xf numFmtId="0" fontId="4" fillId="3" borderId="10" xfId="1" applyFont="1" applyFill="1" applyBorder="1" applyAlignment="1">
      <alignment horizontal="center" vertical="center"/>
    </xf>
    <xf numFmtId="166" fontId="4" fillId="3" borderId="0" xfId="1" applyNumberFormat="1" applyFont="1" applyFill="1" applyAlignment="1">
      <alignment vertical="center"/>
    </xf>
    <xf numFmtId="4" fontId="7" fillId="3" borderId="0" xfId="1" applyNumberFormat="1" applyFont="1" applyFill="1" applyAlignment="1">
      <alignment vertical="center"/>
    </xf>
    <xf numFmtId="166" fontId="7" fillId="3" borderId="0" xfId="1" applyNumberFormat="1" applyFont="1" applyFill="1" applyAlignment="1">
      <alignment vertical="center"/>
    </xf>
    <xf numFmtId="3" fontId="4" fillId="3" borderId="0" xfId="1" applyNumberFormat="1" applyFont="1" applyFill="1" applyAlignment="1">
      <alignment horizontal="center" vertical="center" wrapText="1"/>
    </xf>
    <xf numFmtId="4" fontId="4" fillId="3" borderId="0" xfId="1" applyNumberFormat="1" applyFont="1" applyFill="1" applyAlignment="1">
      <alignment vertical="center"/>
    </xf>
    <xf numFmtId="3" fontId="7" fillId="0" borderId="8" xfId="1" applyNumberFormat="1" applyFont="1" applyFill="1" applyBorder="1" applyAlignment="1">
      <alignment vertical="center"/>
    </xf>
    <xf numFmtId="3" fontId="7" fillId="0" borderId="9" xfId="1" applyNumberFormat="1" applyFont="1" applyFill="1" applyBorder="1" applyAlignment="1">
      <alignment vertical="center"/>
    </xf>
    <xf numFmtId="166" fontId="18" fillId="0" borderId="0" xfId="0" applyNumberFormat="1" applyFont="1" applyFill="1" applyAlignment="1">
      <alignment vertical="center"/>
    </xf>
    <xf numFmtId="169" fontId="9" fillId="0" borderId="0" xfId="1" applyNumberFormat="1" applyFont="1" applyFill="1" applyAlignment="1">
      <alignment horizontal="center" vertical="center" wrapText="1"/>
    </xf>
    <xf numFmtId="166" fontId="4" fillId="3" borderId="9" xfId="1" applyNumberFormat="1" applyFont="1" applyFill="1" applyBorder="1" applyAlignment="1">
      <alignment vertical="center"/>
    </xf>
    <xf numFmtId="166" fontId="26" fillId="0" borderId="9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2" borderId="0" xfId="1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166" fontId="4" fillId="0" borderId="9" xfId="1" applyNumberFormat="1" applyFont="1" applyBorder="1" applyAlignment="1">
      <alignment vertical="center"/>
    </xf>
    <xf numFmtId="167" fontId="4" fillId="0" borderId="9" xfId="1" applyNumberFormat="1" applyFont="1" applyBorder="1" applyAlignment="1">
      <alignment vertical="center"/>
    </xf>
    <xf numFmtId="4" fontId="4" fillId="0" borderId="9" xfId="1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166" fontId="4" fillId="2" borderId="9" xfId="1" applyNumberFormat="1" applyFont="1" applyFill="1" applyBorder="1" applyAlignment="1">
      <alignment vertical="center"/>
    </xf>
    <xf numFmtId="4" fontId="18" fillId="6" borderId="0" xfId="0" applyNumberFormat="1" applyFont="1" applyFill="1" applyAlignment="1">
      <alignment vertical="center"/>
    </xf>
    <xf numFmtId="0" fontId="4" fillId="5" borderId="5" xfId="1" applyFont="1" applyFill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6" fontId="7" fillId="0" borderId="5" xfId="1" applyNumberFormat="1" applyFont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166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4" fontId="4" fillId="2" borderId="9" xfId="1" applyNumberFormat="1" applyFont="1" applyFill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7" xfId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4" fontId="6" fillId="0" borderId="12" xfId="1" applyNumberFormat="1" applyFont="1" applyFill="1" applyBorder="1" applyAlignment="1">
      <alignment horizontal="center" vertical="center" wrapText="1"/>
    </xf>
    <xf numFmtId="4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4" fillId="2" borderId="0" xfId="1" applyFont="1" applyFill="1" applyAlignment="1">
      <alignment horizontal="right"/>
    </xf>
  </cellXfs>
  <cellStyles count="29">
    <cellStyle name="Обычный" xfId="0" builtinId="0"/>
    <cellStyle name="Обычный 10" xfId="2"/>
    <cellStyle name="Обычный 2" xfId="1"/>
    <cellStyle name="Обычный 2 2" xfId="15"/>
    <cellStyle name="Обычный 2 3" xfId="6"/>
    <cellStyle name="Обычный 2 4" xfId="13"/>
    <cellStyle name="Обычный 3" xfId="3"/>
    <cellStyle name="Обычный 3 2" xfId="12"/>
    <cellStyle name="Обычный 4" xfId="4"/>
    <cellStyle name="Обычный 4 2" xfId="16"/>
    <cellStyle name="Обычный 4 3" xfId="14"/>
    <cellStyle name="Обычный 4 4" xfId="20"/>
    <cellStyle name="Обычный 5" xfId="5"/>
    <cellStyle name="Обычный 5 2" xfId="17"/>
    <cellStyle name="Обычный 5 2 2" xfId="22"/>
    <cellStyle name="Обычный 5 3" xfId="21"/>
    <cellStyle name="Обычный 6" xfId="18"/>
    <cellStyle name="Обычный 6 2" xfId="23"/>
    <cellStyle name="Обычный 7" xfId="19"/>
    <cellStyle name="Процентный 2" xfId="10"/>
    <cellStyle name="Процентный 2 2" xfId="24"/>
    <cellStyle name="Финансовый 2" xfId="11"/>
    <cellStyle name="Финансовый 2 2" xfId="25"/>
    <cellStyle name="Финансовый 3" xfId="8"/>
    <cellStyle name="Финансовый 3 2" xfId="26"/>
    <cellStyle name="Финансовый 4" xfId="9"/>
    <cellStyle name="Финансовый 4 2" xfId="27"/>
    <cellStyle name="Финансовый 4 5" xfId="7"/>
    <cellStyle name="Финансовый 4 5 2" xfId="28"/>
  </cellStyles>
  <dxfs count="2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  <color rgb="FFCC0099"/>
      <color rgb="FF6600FF"/>
      <color rgb="FF66FF33"/>
      <color rgb="FFFF00FF"/>
      <color rgb="FFFFCCFF"/>
      <color rgb="FFF1B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291&#1054;&#1044;%20&#1086;&#1090;%2008072021%202019-21\&#1052;&#1046;&#1050;&#1061;%20&#1055;&#1088;&#1086;&#1077;&#1082;&#1090;%20&#1050;&#1055;&#1050;&#1056;%202019-2021%20&#1080;&#1102;&#1085;&#1100;.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87;&#1088;&#1080;&#1082;&#1072;&#1079;%20&#1050;&#1055;&#1050;&#1056;%202019-2021%20&#1072;&#1082;&#1090;&#1091;&#1072;&#1083;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4;&#1087;&#1083;&#1072;&#1090;&#1072;%20&#1050;&#1055;&#1050;&#1056;%202019-2021&#1075;&#1075;.%20&#1085;&#1072;%2027.07.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&#1060;&#1072;&#1081;&#1083;&#1086;&#1086;&#1073;&#1084;&#1077;&#1085;(&#1085;&#1086;&#1074;&#1099;&#1081;)\&#1054;&#1090;&#1076;&#1077;&#1083;%20&#1072;&#1082;&#1090;&#1091;&#1072;&#1083;&#1080;&#1079;&#1072;&#1094;&#1080;&#1080;%20&#1087;&#1088;&#1086;&#1075;&#1088;&#1072;&#1084;&#1084;\&#1053;&#1072;&#1084;&#1099;&#1083;&#1086;&#1074;%20&#1070;.%20&#1048;\&#1054;&#1090;%20&#1059;&#1078;&#1080;&#1085;&#1089;&#1082;&#1086;&#1081;\&#1050;&#1055;&#1050;&#1056;%202022-24\&#1055;&#1086;&#1089;&#1083;&#1077;%20&#1056;&#1055;&#1050;&#1056;\&#1055;&#1088;&#1086;&#1077;&#1082;&#1090;%20&#1050;&#1055;&#1050;&#1056;%202022-2024%20&#1074;%20&#1052;&#1046;&#1050;&#1061;%20&#1076;&#1077;&#1082;%20&#1053;&#1070;&#1048;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55;&#1088;&#1086;&#1077;&#1082;&#1090;%20&#1050;&#1055;&#1050;&#1056;%202019-2021%2004.02.22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6;&#1077;&#1077;&#1089;&#1090;&#1088;%20&#1079;&#1072;%20&#1076;&#1077;&#1082;&#1072;&#1073;&#1088;&#1100;%202%20&#1090;&#1088;&#1072;&#1085;&#10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42;&#1085;&#1077;&#1089;%20&#1080;&#1079;&#1084;\&#1055;&#1088;&#1086;&#1077;&#1082;&#1090;%20&#1050;&#1055;&#1050;&#1056;%202019-2021%20&#1074;%20&#1052;&#1046;&#1050;&#10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5;&#1088;&#1080;&#1083;&#1086;&#1078;&#1077;&#1085;&#1080;&#1103;%20&#1050;&#1055;&#1050;&#1056;%202022-2024_&#1080;&#1102;&#1083;&#1100;%20&#1080;&#1079;&#108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%20&#1074;%20&#1052;&#1046;&#1050;&#1061;%20&#1088;&#1077;&#1076;%20&#1080;&#1089;&#1087;&#1088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2\&#1041;&#1091;&#1093;&#1075;&#1072;&#1083;&#1090;&#1077;&#1088;&#1080;&#1103;\&#1060;&#1072;&#1081;&#1083;&#1099;%20&#1073;&#1091;&#1093;&#1075;&#1072;&#1083;&#1090;&#1077;&#1088;&#1080;&#1080;\&#1041;&#1091;&#1093;&#1075;&#1072;&#1083;&#1090;&#1077;&#1088;&#1080;&#1103;\&#1047;&#1072;&#1103;&#1074;&#1082;&#1080;%20&#1085;&#1072;%20&#1043;&#1041;\&#1086;&#1089;&#1074;&#1086;&#1077;&#1085;&#1080;&#1077;%20&#1089;&#1088;&#1077;&#1076;&#1089;&#1090;&#1074;%20&#1089;&#1091;&#1073;&#1089;&#1080;&#1076;&#1080;&#1080;%202022%20&#1075;&#1086;&#1076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_&#1048;&#1058;&#1054;&#1043;%20&#1080;&#1079;&#1084;&#1077;&#1085;0211%20&#1086;&#1087;&#1083;&#1072;&#1090;&#1099;%20&#1080;&#1089;&#1090;%2028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309&#1054;&#1044;%20&#1086;&#1090;%2023072021%202022-2024&#1075;&#1075;\&#1055;&#1088;&#1080;&#1083;&#1086;&#1078;&#1077;&#1085;&#1080;&#1103;%20&#1050;&#1055;&#1050;&#1056;%202022-2024_&#1080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 2 оконч"/>
      <sheetName val="Лист1"/>
      <sheetName val="Приложение №3"/>
    </sheetNames>
    <sheetDataSet>
      <sheetData sheetId="0">
        <row r="12">
          <cell r="P12" t="str">
            <v>руб</v>
          </cell>
        </row>
        <row r="174">
          <cell r="P174">
            <v>2363725.37</v>
          </cell>
        </row>
        <row r="175">
          <cell r="P175">
            <v>6462975.75</v>
          </cell>
        </row>
        <row r="187">
          <cell r="P187">
            <v>5201625.47</v>
          </cell>
        </row>
        <row r="215">
          <cell r="P215">
            <v>0</v>
          </cell>
        </row>
        <row r="217">
          <cell r="P217">
            <v>685311.5</v>
          </cell>
        </row>
        <row r="219">
          <cell r="P219">
            <v>2742167.74</v>
          </cell>
        </row>
        <row r="270">
          <cell r="P270">
            <v>0</v>
          </cell>
        </row>
        <row r="344">
          <cell r="P344">
            <v>5669160.790000001</v>
          </cell>
        </row>
        <row r="345">
          <cell r="P345">
            <v>8474001.9285000004</v>
          </cell>
        </row>
        <row r="358">
          <cell r="P358">
            <v>3212625.9276756034</v>
          </cell>
        </row>
        <row r="359">
          <cell r="P359">
            <v>10239275.208710328</v>
          </cell>
        </row>
        <row r="360">
          <cell r="P360">
            <v>8282321.9184000008</v>
          </cell>
        </row>
        <row r="361">
          <cell r="P361">
            <v>27818789.569609597</v>
          </cell>
        </row>
        <row r="366">
          <cell r="P366">
            <v>12906929.591843799</v>
          </cell>
        </row>
        <row r="367">
          <cell r="P367">
            <v>48175526.110926934</v>
          </cell>
        </row>
        <row r="369">
          <cell r="P369">
            <v>27399966.514761567</v>
          </cell>
        </row>
        <row r="372">
          <cell r="P372">
            <v>6374848.4797866829</v>
          </cell>
        </row>
        <row r="375">
          <cell r="P375">
            <v>2058131.57</v>
          </cell>
        </row>
        <row r="376">
          <cell r="P376">
            <v>1427823.2759999998</v>
          </cell>
        </row>
        <row r="388">
          <cell r="P388">
            <v>1207789.547</v>
          </cell>
        </row>
        <row r="392">
          <cell r="P392">
            <v>8781068.4495000001</v>
          </cell>
        </row>
        <row r="397">
          <cell r="P397">
            <v>2141124.9173050486</v>
          </cell>
        </row>
        <row r="399">
          <cell r="P399">
            <v>25930308.993724361</v>
          </cell>
        </row>
        <row r="409">
          <cell r="P409">
            <v>8892758.499400001</v>
          </cell>
        </row>
        <row r="414">
          <cell r="P414">
            <v>14292902.076399997</v>
          </cell>
        </row>
        <row r="423">
          <cell r="P423">
            <v>7397275.0824999996</v>
          </cell>
        </row>
        <row r="430">
          <cell r="P430">
            <v>21637631.2425</v>
          </cell>
        </row>
        <row r="433">
          <cell r="P433">
            <v>48635189.735800005</v>
          </cell>
        </row>
        <row r="436">
          <cell r="P436">
            <v>3266783.6526328963</v>
          </cell>
        </row>
        <row r="445">
          <cell r="P445">
            <v>1946733.0500000003</v>
          </cell>
        </row>
        <row r="447">
          <cell r="P447">
            <v>1971017.5200000005</v>
          </cell>
        </row>
        <row r="449">
          <cell r="P449">
            <v>6115146.2634999985</v>
          </cell>
        </row>
        <row r="455">
          <cell r="P455">
            <v>708248.36999999965</v>
          </cell>
        </row>
        <row r="474">
          <cell r="P474">
            <v>3230114.3299999996</v>
          </cell>
        </row>
        <row r="480">
          <cell r="P480">
            <v>3540618.4304999998</v>
          </cell>
        </row>
        <row r="499">
          <cell r="P499">
            <v>2417299.0020772759</v>
          </cell>
        </row>
        <row r="501">
          <cell r="P501">
            <v>28044838.289283924</v>
          </cell>
        </row>
        <row r="502">
          <cell r="P502">
            <v>39607141.98520001</v>
          </cell>
        </row>
        <row r="508">
          <cell r="P508">
            <v>3043125.2616376868</v>
          </cell>
        </row>
        <row r="538">
          <cell r="P538">
            <v>6290464.21</v>
          </cell>
        </row>
        <row r="539">
          <cell r="P539">
            <v>8257059.5300000012</v>
          </cell>
        </row>
        <row r="545">
          <cell r="P545">
            <v>2771426.102</v>
          </cell>
        </row>
        <row r="546">
          <cell r="P546">
            <v>1000112.8675000001</v>
          </cell>
        </row>
        <row r="553">
          <cell r="P553">
            <v>40099220.361245915</v>
          </cell>
        </row>
        <row r="554">
          <cell r="P554">
            <v>40049208.433561467</v>
          </cell>
        </row>
        <row r="555">
          <cell r="P555">
            <v>7221589.5544595318</v>
          </cell>
        </row>
        <row r="556">
          <cell r="P556">
            <v>816731.98752960004</v>
          </cell>
        </row>
        <row r="557">
          <cell r="P557">
            <v>5341171.9225030383</v>
          </cell>
        </row>
        <row r="558">
          <cell r="P558">
            <v>2026099.6597644801</v>
          </cell>
        </row>
        <row r="560">
          <cell r="P560">
            <v>2239496.2140982077</v>
          </cell>
        </row>
        <row r="562">
          <cell r="P562">
            <v>28665187.773628131</v>
          </cell>
        </row>
        <row r="565">
          <cell r="P565">
            <v>16495252.352266515</v>
          </cell>
        </row>
        <row r="566">
          <cell r="P566">
            <v>2866781.0066559846</v>
          </cell>
        </row>
        <row r="567">
          <cell r="P567">
            <v>18473460.392044522</v>
          </cell>
        </row>
        <row r="568">
          <cell r="P568">
            <v>17081719.062643237</v>
          </cell>
        </row>
        <row r="570">
          <cell r="P570">
            <v>5098440.0444</v>
          </cell>
        </row>
        <row r="573">
          <cell r="P573">
            <v>7886958.9318995066</v>
          </cell>
        </row>
        <row r="574">
          <cell r="P574">
            <v>23851388.807221878</v>
          </cell>
        </row>
        <row r="576">
          <cell r="P576">
            <v>8156953.7981021646</v>
          </cell>
        </row>
        <row r="577">
          <cell r="P577">
            <v>10685552.058069635</v>
          </cell>
        </row>
        <row r="579">
          <cell r="P579">
            <v>4184215.5831091204</v>
          </cell>
        </row>
        <row r="580">
          <cell r="P580">
            <v>3914483.4459999995</v>
          </cell>
        </row>
        <row r="583">
          <cell r="P583">
            <v>6830056.5820000004</v>
          </cell>
        </row>
        <row r="588">
          <cell r="P588">
            <v>28141371.31630424</v>
          </cell>
        </row>
        <row r="589">
          <cell r="P589">
            <v>5145776.9582268819</v>
          </cell>
        </row>
        <row r="594">
          <cell r="P594">
            <v>6704672.5946912011</v>
          </cell>
        </row>
        <row r="596">
          <cell r="P596">
            <v>5148341.6700000018</v>
          </cell>
        </row>
        <row r="597">
          <cell r="P597">
            <v>10176929.95315839</v>
          </cell>
        </row>
        <row r="598">
          <cell r="P598">
            <v>24248728.277484797</v>
          </cell>
        </row>
        <row r="601">
          <cell r="P601">
            <v>5171687.5833200011</v>
          </cell>
        </row>
        <row r="604">
          <cell r="P604">
            <v>26420103.173131198</v>
          </cell>
        </row>
        <row r="606">
          <cell r="P606">
            <v>7823686.9100000001</v>
          </cell>
        </row>
        <row r="617">
          <cell r="P617">
            <v>1485012.06</v>
          </cell>
        </row>
        <row r="623">
          <cell r="P623">
            <v>10532880.890000001</v>
          </cell>
        </row>
        <row r="624">
          <cell r="P624">
            <v>10447038.340000002</v>
          </cell>
        </row>
        <row r="631">
          <cell r="P631">
            <v>986211.37</v>
          </cell>
        </row>
        <row r="632">
          <cell r="P632">
            <v>1620919.07</v>
          </cell>
        </row>
        <row r="633">
          <cell r="P633">
            <v>4933960.2399999993</v>
          </cell>
        </row>
        <row r="648">
          <cell r="P648">
            <v>1225249.3700000001</v>
          </cell>
        </row>
        <row r="650">
          <cell r="P650">
            <v>1213023.8500000001</v>
          </cell>
        </row>
        <row r="651">
          <cell r="P651">
            <v>1447954.3899999997</v>
          </cell>
        </row>
        <row r="652">
          <cell r="P652">
            <v>9803415.6300000008</v>
          </cell>
        </row>
        <row r="653">
          <cell r="P653">
            <v>19027519.629999999</v>
          </cell>
        </row>
        <row r="655">
          <cell r="P655">
            <v>1580265.24</v>
          </cell>
        </row>
        <row r="656">
          <cell r="P656">
            <v>28975385.801800434</v>
          </cell>
        </row>
        <row r="657">
          <cell r="P657">
            <v>6551528.46</v>
          </cell>
        </row>
        <row r="658">
          <cell r="P658">
            <v>1450140.1899999995</v>
          </cell>
        </row>
        <row r="669">
          <cell r="P669">
            <v>11181802.715720028</v>
          </cell>
        </row>
        <row r="670">
          <cell r="P670">
            <v>7863588.1700000009</v>
          </cell>
        </row>
        <row r="671">
          <cell r="P671">
            <v>8170503.7699999996</v>
          </cell>
        </row>
        <row r="672">
          <cell r="P672">
            <v>1002752.7899999999</v>
          </cell>
        </row>
        <row r="677">
          <cell r="P677">
            <v>24055432.11999999</v>
          </cell>
        </row>
        <row r="678">
          <cell r="P678">
            <v>12865130.34</v>
          </cell>
        </row>
        <row r="682">
          <cell r="P682">
            <v>7146554.0138883237</v>
          </cell>
        </row>
        <row r="683">
          <cell r="P683">
            <v>7237481.2999999989</v>
          </cell>
        </row>
        <row r="684">
          <cell r="P684">
            <v>10769928.65</v>
          </cell>
        </row>
        <row r="685">
          <cell r="P685">
            <v>7114183.0864195572</v>
          </cell>
        </row>
        <row r="687">
          <cell r="P687">
            <v>8426864.2400000002</v>
          </cell>
        </row>
        <row r="688">
          <cell r="P688">
            <v>1641039.36</v>
          </cell>
        </row>
        <row r="689">
          <cell r="P689">
            <v>1587263.4800000002</v>
          </cell>
        </row>
        <row r="691">
          <cell r="P691">
            <v>26357429.569999997</v>
          </cell>
        </row>
        <row r="692">
          <cell r="P692">
            <v>6275488.2600000007</v>
          </cell>
        </row>
        <row r="696">
          <cell r="P696">
            <v>6285951.6399999987</v>
          </cell>
        </row>
        <row r="700">
          <cell r="P700">
            <v>873022.10000000033</v>
          </cell>
        </row>
        <row r="701">
          <cell r="P701">
            <v>13284599.360365851</v>
          </cell>
        </row>
        <row r="704">
          <cell r="P704">
            <v>13466069.899999995</v>
          </cell>
        </row>
        <row r="715">
          <cell r="P715">
            <v>1713873.6500000004</v>
          </cell>
        </row>
        <row r="716">
          <cell r="P716">
            <v>431533.13999999996</v>
          </cell>
        </row>
        <row r="721">
          <cell r="P721">
            <v>19605046.867199995</v>
          </cell>
        </row>
        <row r="723">
          <cell r="P723">
            <v>847786.43000000017</v>
          </cell>
        </row>
        <row r="725">
          <cell r="P725">
            <v>21032753.059999991</v>
          </cell>
        </row>
        <row r="726">
          <cell r="P726">
            <v>17481095.170000002</v>
          </cell>
        </row>
        <row r="727">
          <cell r="P727">
            <v>428780.35</v>
          </cell>
        </row>
        <row r="738">
          <cell r="P738">
            <v>2583043.7780267852</v>
          </cell>
        </row>
        <row r="741">
          <cell r="P741">
            <v>1585258.8399999999</v>
          </cell>
        </row>
        <row r="742">
          <cell r="P742">
            <v>3588862.6807772806</v>
          </cell>
        </row>
        <row r="743">
          <cell r="P743">
            <v>2685397.8447520756</v>
          </cell>
        </row>
        <row r="744">
          <cell r="P744">
            <v>497150.82692000008</v>
          </cell>
        </row>
        <row r="745">
          <cell r="P745">
            <v>465424.49468000012</v>
          </cell>
        </row>
        <row r="749">
          <cell r="P749">
            <v>603292.1</v>
          </cell>
        </row>
        <row r="750">
          <cell r="P750">
            <v>116961.11378439551</v>
          </cell>
        </row>
        <row r="751">
          <cell r="P751">
            <v>1136772.4099999997</v>
          </cell>
        </row>
        <row r="752">
          <cell r="P752">
            <v>12372597.263280006</v>
          </cell>
        </row>
        <row r="753">
          <cell r="P753">
            <v>5306003.8536799997</v>
          </cell>
        </row>
        <row r="754">
          <cell r="P754">
            <v>12126434.166819995</v>
          </cell>
        </row>
        <row r="755">
          <cell r="P755">
            <v>10814547.200800002</v>
          </cell>
        </row>
        <row r="756">
          <cell r="P756">
            <v>5490989.4344400009</v>
          </cell>
        </row>
        <row r="757">
          <cell r="P757">
            <v>532961.78088000009</v>
          </cell>
        </row>
        <row r="759">
          <cell r="P759">
            <v>2017885.0799999998</v>
          </cell>
        </row>
        <row r="766">
          <cell r="P766">
            <v>506808.78281999991</v>
          </cell>
        </row>
        <row r="767">
          <cell r="P767">
            <v>493322.84271999996</v>
          </cell>
        </row>
        <row r="768">
          <cell r="P768">
            <v>591869.62</v>
          </cell>
        </row>
        <row r="787">
          <cell r="P787">
            <v>1285012.1973470973</v>
          </cell>
        </row>
        <row r="789">
          <cell r="P789">
            <v>809.12267032312229</v>
          </cell>
        </row>
        <row r="790">
          <cell r="P790">
            <v>841.70926662790589</v>
          </cell>
        </row>
        <row r="791">
          <cell r="P791">
            <v>33452097.220000006</v>
          </cell>
        </row>
        <row r="794">
          <cell r="P794">
            <v>19830505.039999999</v>
          </cell>
        </row>
        <row r="818">
          <cell r="P818">
            <v>18300388.142200004</v>
          </cell>
        </row>
        <row r="819">
          <cell r="P819">
            <v>66289382.134580001</v>
          </cell>
        </row>
        <row r="821">
          <cell r="P821">
            <v>148351921.83200002</v>
          </cell>
        </row>
        <row r="827">
          <cell r="P827">
            <v>6101859.348490933</v>
          </cell>
        </row>
        <row r="828">
          <cell r="P828">
            <v>32266248.896784753</v>
          </cell>
        </row>
        <row r="829">
          <cell r="P829">
            <v>48936176.430000007</v>
          </cell>
        </row>
        <row r="830">
          <cell r="P830">
            <v>40604811.628484815</v>
          </cell>
        </row>
        <row r="831">
          <cell r="P831">
            <v>122344830.23280141</v>
          </cell>
        </row>
        <row r="832">
          <cell r="P832">
            <v>3314210.0573726771</v>
          </cell>
        </row>
        <row r="833">
          <cell r="P833">
            <v>37138570.70000001</v>
          </cell>
        </row>
        <row r="859">
          <cell r="P859">
            <v>11744157.99</v>
          </cell>
        </row>
        <row r="860">
          <cell r="P860">
            <v>11533143.700000001</v>
          </cell>
        </row>
        <row r="885">
          <cell r="P885">
            <v>17778030.9716</v>
          </cell>
        </row>
        <row r="886">
          <cell r="P886">
            <v>8799079.7368000001</v>
          </cell>
        </row>
        <row r="887">
          <cell r="P887">
            <v>1811060.4200000004</v>
          </cell>
        </row>
        <row r="893">
          <cell r="P893">
            <v>806022.15999999992</v>
          </cell>
        </row>
        <row r="894">
          <cell r="P894">
            <v>2193864.8199999998</v>
          </cell>
        </row>
        <row r="895">
          <cell r="P895">
            <v>601362.61320000002</v>
          </cell>
        </row>
        <row r="896">
          <cell r="P896">
            <v>581172.29899999988</v>
          </cell>
        </row>
        <row r="898">
          <cell r="P898">
            <v>12579404.312328</v>
          </cell>
        </row>
        <row r="899">
          <cell r="P899">
            <v>2142622.9</v>
          </cell>
        </row>
        <row r="900">
          <cell r="P900">
            <v>1668497.8999999997</v>
          </cell>
        </row>
        <row r="901">
          <cell r="P901">
            <v>1458277.14</v>
          </cell>
        </row>
        <row r="903">
          <cell r="P903">
            <v>3195547.7599999984</v>
          </cell>
        </row>
        <row r="909">
          <cell r="P909">
            <v>12091200.899999999</v>
          </cell>
        </row>
        <row r="910">
          <cell r="P910">
            <v>3288676.0245547546</v>
          </cell>
        </row>
        <row r="911">
          <cell r="P911">
            <v>2370633.8205407565</v>
          </cell>
        </row>
        <row r="912">
          <cell r="P912">
            <v>16490483.210000006</v>
          </cell>
        </row>
        <row r="917">
          <cell r="P917">
            <v>17848233.791126687</v>
          </cell>
        </row>
        <row r="919">
          <cell r="P919">
            <v>20428886.040454783</v>
          </cell>
        </row>
        <row r="921">
          <cell r="P921">
            <v>14072598.210892042</v>
          </cell>
        </row>
        <row r="925">
          <cell r="P925">
            <v>6576526.0310109407</v>
          </cell>
        </row>
        <row r="926">
          <cell r="P926">
            <v>14878178.660376798</v>
          </cell>
        </row>
        <row r="927">
          <cell r="P927">
            <v>25984512.302376568</v>
          </cell>
        </row>
        <row r="928">
          <cell r="P928">
            <v>18207762.43532753</v>
          </cell>
        </row>
        <row r="929">
          <cell r="P929">
            <v>22233944.550541572</v>
          </cell>
        </row>
        <row r="941">
          <cell r="P941">
            <v>4390633.6664937465</v>
          </cell>
        </row>
        <row r="943">
          <cell r="P943">
            <v>29815433.570424493</v>
          </cell>
        </row>
        <row r="944">
          <cell r="P944">
            <v>28094922.900854893</v>
          </cell>
        </row>
        <row r="945">
          <cell r="P945">
            <v>14108769.969636556</v>
          </cell>
        </row>
        <row r="946">
          <cell r="P946">
            <v>6817924.8814827744</v>
          </cell>
        </row>
        <row r="947">
          <cell r="P947">
            <v>11018935.901861956</v>
          </cell>
        </row>
        <row r="948">
          <cell r="P948">
            <v>9980846.7527248561</v>
          </cell>
        </row>
        <row r="949">
          <cell r="P949">
            <v>5766583.3613934321</v>
          </cell>
        </row>
        <row r="950">
          <cell r="P950">
            <v>10069888.173097901</v>
          </cell>
        </row>
        <row r="951">
          <cell r="P951">
            <v>18965713.13870208</v>
          </cell>
        </row>
        <row r="954">
          <cell r="P954">
            <v>1437551.2791203777</v>
          </cell>
        </row>
        <row r="955">
          <cell r="P955">
            <v>10520055.546183784</v>
          </cell>
        </row>
        <row r="957">
          <cell r="P957">
            <v>12220493.678480946</v>
          </cell>
        </row>
        <row r="958">
          <cell r="P958">
            <v>5871732.7855256665</v>
          </cell>
        </row>
        <row r="959">
          <cell r="P959">
            <v>24260807.389634863</v>
          </cell>
        </row>
        <row r="960">
          <cell r="P960">
            <v>12951071.874534598</v>
          </cell>
        </row>
        <row r="961">
          <cell r="P961">
            <v>1934882.2056601597</v>
          </cell>
        </row>
        <row r="962">
          <cell r="P962">
            <v>11762187.555496641</v>
          </cell>
        </row>
        <row r="963">
          <cell r="P963">
            <v>13831191.641399138</v>
          </cell>
        </row>
        <row r="964">
          <cell r="P964">
            <v>17659630.273666978</v>
          </cell>
        </row>
        <row r="966">
          <cell r="P966">
            <v>17080581.039999999</v>
          </cell>
        </row>
        <row r="967">
          <cell r="P967">
            <v>18237155.57859413</v>
          </cell>
        </row>
        <row r="968">
          <cell r="P968">
            <v>3817374.0458746403</v>
          </cell>
        </row>
        <row r="969">
          <cell r="P969">
            <v>15211476.056563497</v>
          </cell>
        </row>
        <row r="971">
          <cell r="P971">
            <v>23221631.233672258</v>
          </cell>
        </row>
        <row r="972">
          <cell r="P972">
            <v>27753522.364027523</v>
          </cell>
        </row>
        <row r="973">
          <cell r="P973">
            <v>8919313.6635088157</v>
          </cell>
        </row>
        <row r="974">
          <cell r="P974">
            <v>8846201.374019675</v>
          </cell>
        </row>
        <row r="975">
          <cell r="P975">
            <v>28589031.519116439</v>
          </cell>
        </row>
        <row r="976">
          <cell r="P976">
            <v>8903939.4338173456</v>
          </cell>
        </row>
        <row r="977">
          <cell r="P977">
            <v>24186490.671907838</v>
          </cell>
        </row>
        <row r="978">
          <cell r="P978">
            <v>7684839.2223156653</v>
          </cell>
        </row>
        <row r="979">
          <cell r="P979">
            <v>1215979.3767552001</v>
          </cell>
        </row>
        <row r="980">
          <cell r="P980">
            <v>4731974.7741556643</v>
          </cell>
        </row>
        <row r="981">
          <cell r="P981">
            <v>1554318.958804019</v>
          </cell>
        </row>
        <row r="982">
          <cell r="P982">
            <v>2994031.6609295118</v>
          </cell>
        </row>
        <row r="983">
          <cell r="P983">
            <v>5985266.5224130061</v>
          </cell>
        </row>
        <row r="987">
          <cell r="P987">
            <v>6819202.2191549866</v>
          </cell>
        </row>
        <row r="988">
          <cell r="P988">
            <v>13252883.389134357</v>
          </cell>
        </row>
        <row r="989">
          <cell r="P989">
            <v>9963680.7092695031</v>
          </cell>
        </row>
        <row r="992">
          <cell r="P992">
            <v>63171748.709999993</v>
          </cell>
        </row>
        <row r="999">
          <cell r="P999">
            <v>8497246.2100000046</v>
          </cell>
        </row>
        <row r="1001">
          <cell r="P1001">
            <v>64643474.290000021</v>
          </cell>
        </row>
        <row r="1002">
          <cell r="P1002">
            <v>43897348.65613386</v>
          </cell>
        </row>
        <row r="1003">
          <cell r="P1003">
            <v>7701835.8562918426</v>
          </cell>
        </row>
        <row r="1004">
          <cell r="P1004">
            <v>2303834.2199999997</v>
          </cell>
        </row>
        <row r="1010">
          <cell r="P1010">
            <v>51631855.660000004</v>
          </cell>
        </row>
        <row r="1012">
          <cell r="P1012">
            <v>13417509.149284188</v>
          </cell>
        </row>
        <row r="1015">
          <cell r="P1015">
            <v>1847995.3600000003</v>
          </cell>
        </row>
        <row r="1017">
          <cell r="P1017">
            <v>36590119.474616945</v>
          </cell>
        </row>
        <row r="1019">
          <cell r="P1019">
            <v>24796712.34</v>
          </cell>
        </row>
        <row r="1021">
          <cell r="P1021">
            <v>9416982.5599999949</v>
          </cell>
        </row>
        <row r="1025">
          <cell r="P1025">
            <v>65670330.709999986</v>
          </cell>
        </row>
        <row r="1026">
          <cell r="P1026">
            <v>65727270.189999975</v>
          </cell>
        </row>
        <row r="1028">
          <cell r="P1028">
            <v>5482362.6731081679</v>
          </cell>
        </row>
        <row r="1029">
          <cell r="P1029">
            <v>52119676.309999995</v>
          </cell>
        </row>
        <row r="1032">
          <cell r="P1032">
            <v>52798757.289999999</v>
          </cell>
        </row>
        <row r="1033">
          <cell r="P1033">
            <v>2932829.410000002</v>
          </cell>
        </row>
        <row r="1034">
          <cell r="P1034">
            <v>65222997.340000004</v>
          </cell>
        </row>
        <row r="1035">
          <cell r="P1035">
            <v>93696867.900000021</v>
          </cell>
        </row>
        <row r="1036">
          <cell r="P1036">
            <v>8748252.5706708319</v>
          </cell>
        </row>
        <row r="1043">
          <cell r="P1043">
            <v>35951166.840000004</v>
          </cell>
        </row>
        <row r="1045">
          <cell r="P1045">
            <v>1455869.87</v>
          </cell>
        </row>
        <row r="1046">
          <cell r="P1046">
            <v>1108734.77</v>
          </cell>
        </row>
        <row r="1050">
          <cell r="P1050">
            <v>1118330.7392284828</v>
          </cell>
        </row>
        <row r="1051">
          <cell r="P1051">
            <v>1268282.5</v>
          </cell>
        </row>
        <row r="1052">
          <cell r="P1052">
            <v>1269331.67</v>
          </cell>
        </row>
        <row r="1053">
          <cell r="P1053">
            <v>18497250.609999996</v>
          </cell>
        </row>
        <row r="1060">
          <cell r="P1060">
            <v>11464763.279999999</v>
          </cell>
        </row>
        <row r="1061">
          <cell r="P1061">
            <v>7431629.629999999</v>
          </cell>
        </row>
        <row r="1064">
          <cell r="P1064">
            <v>13542180.720000004</v>
          </cell>
        </row>
        <row r="1068">
          <cell r="P1068">
            <v>12148295.499999996</v>
          </cell>
        </row>
        <row r="1069">
          <cell r="P1069">
            <v>12093197.939999992</v>
          </cell>
        </row>
        <row r="1070">
          <cell r="P1070">
            <v>9659265.1499999985</v>
          </cell>
        </row>
        <row r="1072">
          <cell r="P1072">
            <v>1457029.0322992411</v>
          </cell>
        </row>
        <row r="1073">
          <cell r="P1073">
            <v>20797016.224481054</v>
          </cell>
        </row>
        <row r="1074">
          <cell r="P1074">
            <v>65998108.789999999</v>
          </cell>
        </row>
        <row r="1077">
          <cell r="P1077">
            <v>65659331.5</v>
          </cell>
        </row>
        <row r="1079">
          <cell r="P1079">
            <v>8431110.9800000023</v>
          </cell>
        </row>
        <row r="1080">
          <cell r="P1080">
            <v>8322777.0799999982</v>
          </cell>
        </row>
        <row r="1081">
          <cell r="P1081">
            <v>8603487.7300000023</v>
          </cell>
        </row>
        <row r="1083">
          <cell r="P1083">
            <v>2448569.4107756615</v>
          </cell>
        </row>
        <row r="1084">
          <cell r="P1084">
            <v>2415840.9368203687</v>
          </cell>
        </row>
        <row r="1085">
          <cell r="P1085">
            <v>52246987.829999991</v>
          </cell>
        </row>
        <row r="1086">
          <cell r="P1086">
            <v>2342017.5099999988</v>
          </cell>
        </row>
        <row r="1087">
          <cell r="P1087">
            <v>16489502.430373427</v>
          </cell>
        </row>
        <row r="1088">
          <cell r="P1088">
            <v>60454696.109999992</v>
          </cell>
        </row>
        <row r="1089">
          <cell r="P1089">
            <v>28547933.829999998</v>
          </cell>
        </row>
        <row r="1090">
          <cell r="P1090">
            <v>35094850.840000004</v>
          </cell>
        </row>
        <row r="1092">
          <cell r="P1092">
            <v>3996414.1399999997</v>
          </cell>
        </row>
        <row r="1093">
          <cell r="P1093">
            <v>2465044.8999999976</v>
          </cell>
        </row>
        <row r="1094">
          <cell r="P1094">
            <v>94368777.570000008</v>
          </cell>
        </row>
        <row r="1095">
          <cell r="P1095">
            <v>95655317.060000017</v>
          </cell>
        </row>
        <row r="1096">
          <cell r="P1096">
            <v>94892283.810000002</v>
          </cell>
        </row>
        <row r="1097">
          <cell r="P1097">
            <v>15852112.299999997</v>
          </cell>
        </row>
        <row r="1098">
          <cell r="P1098">
            <v>1359490.6128280105</v>
          </cell>
        </row>
        <row r="1099">
          <cell r="P1099">
            <v>11000544.760000002</v>
          </cell>
        </row>
        <row r="1100">
          <cell r="P1100">
            <v>18722482.150000002</v>
          </cell>
        </row>
        <row r="1102">
          <cell r="P1102">
            <v>61217073.699999996</v>
          </cell>
        </row>
        <row r="1104">
          <cell r="P1104">
            <v>24456705.580000002</v>
          </cell>
        </row>
        <row r="1105">
          <cell r="P1105">
            <v>8268539.4699999997</v>
          </cell>
        </row>
        <row r="1106">
          <cell r="P1106">
            <v>72781036.74000001</v>
          </cell>
        </row>
        <row r="1107">
          <cell r="P1107">
            <v>94412072.299999997</v>
          </cell>
        </row>
        <row r="1108">
          <cell r="P1108">
            <v>52276528.400000006</v>
          </cell>
        </row>
        <row r="1120">
          <cell r="P1120">
            <v>3572379.398950994</v>
          </cell>
        </row>
        <row r="1123">
          <cell r="P1123">
            <v>2543660.9576276466</v>
          </cell>
        </row>
        <row r="1124">
          <cell r="P1124">
            <v>1587248.7344414375</v>
          </cell>
        </row>
        <row r="1125">
          <cell r="P1125">
            <v>1778614.2281470578</v>
          </cell>
        </row>
        <row r="1133">
          <cell r="P1133">
            <v>2372269.8085990548</v>
          </cell>
        </row>
        <row r="1134">
          <cell r="P1134">
            <v>5593158.5100000007</v>
          </cell>
        </row>
        <row r="1137">
          <cell r="P1137">
            <v>7958241.291535127</v>
          </cell>
        </row>
        <row r="1144">
          <cell r="P1144">
            <v>5611.935665362631</v>
          </cell>
        </row>
        <row r="1146">
          <cell r="P1146">
            <v>0</v>
          </cell>
        </row>
        <row r="1147">
          <cell r="P1147">
            <v>1.1641532182693481E-10</v>
          </cell>
        </row>
        <row r="1148">
          <cell r="P1148">
            <v>180715.81999999983</v>
          </cell>
        </row>
        <row r="1149">
          <cell r="P1149">
            <v>0</v>
          </cell>
        </row>
        <row r="1150">
          <cell r="P1150">
            <v>0</v>
          </cell>
        </row>
        <row r="1151">
          <cell r="P1151">
            <v>0</v>
          </cell>
        </row>
        <row r="1152">
          <cell r="P1152">
            <v>52553.28999999864</v>
          </cell>
        </row>
        <row r="1153">
          <cell r="P1153">
            <v>1372810.9600000002</v>
          </cell>
        </row>
        <row r="1154">
          <cell r="P1154">
            <v>5978159.5399999991</v>
          </cell>
        </row>
        <row r="1155">
          <cell r="P1155">
            <v>6921910.3999999976</v>
          </cell>
        </row>
        <row r="1157">
          <cell r="P1157">
            <v>0</v>
          </cell>
        </row>
        <row r="1158">
          <cell r="P1158">
            <v>0</v>
          </cell>
        </row>
        <row r="1166">
          <cell r="P1166">
            <v>1885117.3616406922</v>
          </cell>
        </row>
        <row r="1167">
          <cell r="P1167">
            <v>1914512.3699999973</v>
          </cell>
        </row>
        <row r="1168">
          <cell r="P1168">
            <v>2488360.9600000037</v>
          </cell>
        </row>
        <row r="1170">
          <cell r="P1170">
            <v>16049590.159999998</v>
          </cell>
        </row>
        <row r="1171">
          <cell r="P1171">
            <v>16934428.490000002</v>
          </cell>
        </row>
        <row r="1172">
          <cell r="P1172">
            <v>15375482.269999996</v>
          </cell>
        </row>
        <row r="1173">
          <cell r="P1173">
            <v>33315141.399999987</v>
          </cell>
        </row>
        <row r="1174">
          <cell r="P1174">
            <v>33643444.510000005</v>
          </cell>
        </row>
        <row r="1176">
          <cell r="P1176">
            <v>33829950.399999991</v>
          </cell>
        </row>
        <row r="1177">
          <cell r="P1177">
            <v>19868047.289999999</v>
          </cell>
        </row>
        <row r="1178">
          <cell r="P1178">
            <v>24438300.879999999</v>
          </cell>
        </row>
        <row r="1179">
          <cell r="P1179">
            <v>18686894.260000005</v>
          </cell>
        </row>
        <row r="1188">
          <cell r="P1188">
            <v>108118883.23000002</v>
          </cell>
        </row>
        <row r="1191">
          <cell r="P1191">
            <v>999114.17999999993</v>
          </cell>
        </row>
        <row r="1192">
          <cell r="P1192">
            <v>6037471.3100000005</v>
          </cell>
        </row>
        <row r="1194">
          <cell r="P1194">
            <v>12507089.560000002</v>
          </cell>
        </row>
        <row r="1195">
          <cell r="P1195">
            <v>10603826.470000004</v>
          </cell>
        </row>
        <row r="1196">
          <cell r="P1196">
            <v>13040556.109999999</v>
          </cell>
        </row>
        <row r="1198">
          <cell r="P1198">
            <v>2932084.9300000016</v>
          </cell>
        </row>
        <row r="1200">
          <cell r="P1200">
            <v>43469592.88000001</v>
          </cell>
        </row>
        <row r="1201">
          <cell r="P1201">
            <v>3502292.490000003</v>
          </cell>
        </row>
        <row r="1204">
          <cell r="P1204">
            <v>3024653.8800000008</v>
          </cell>
        </row>
        <row r="1205">
          <cell r="P1205">
            <v>83302115.179999977</v>
          </cell>
        </row>
        <row r="1209">
          <cell r="P1209">
            <v>1520144.4100000006</v>
          </cell>
        </row>
        <row r="1216">
          <cell r="P1216">
            <v>34117719.629999995</v>
          </cell>
        </row>
        <row r="1219">
          <cell r="P1219">
            <v>2848585.3867182089</v>
          </cell>
        </row>
        <row r="1228">
          <cell r="P1228">
            <v>17520837.330000002</v>
          </cell>
        </row>
        <row r="1233">
          <cell r="P1233">
            <v>4334044.4700000007</v>
          </cell>
        </row>
        <row r="1236">
          <cell r="P1236">
            <v>4006045.2700000009</v>
          </cell>
        </row>
        <row r="1242">
          <cell r="P1242">
            <v>338876.07000000007</v>
          </cell>
        </row>
        <row r="1245">
          <cell r="P1245">
            <v>25520738.699999999</v>
          </cell>
        </row>
        <row r="1251">
          <cell r="P1251">
            <v>3776002.2999999984</v>
          </cell>
        </row>
        <row r="1252">
          <cell r="P1252">
            <v>4761746.59</v>
          </cell>
        </row>
        <row r="1253">
          <cell r="P1253">
            <v>25551991.586559996</v>
          </cell>
        </row>
        <row r="1261">
          <cell r="P1261">
            <v>24406443.109999999</v>
          </cell>
        </row>
        <row r="1269">
          <cell r="P1269">
            <v>10703644.41</v>
          </cell>
        </row>
        <row r="1270">
          <cell r="P1270">
            <v>15721329.490000002</v>
          </cell>
        </row>
        <row r="1271">
          <cell r="P1271">
            <v>7047372.169999999</v>
          </cell>
        </row>
        <row r="1273">
          <cell r="P1273">
            <v>14610403.984999999</v>
          </cell>
        </row>
        <row r="1275">
          <cell r="P1275">
            <v>1808754.3100000003</v>
          </cell>
        </row>
        <row r="1276">
          <cell r="P1276">
            <v>7088504.3100000005</v>
          </cell>
        </row>
        <row r="1278">
          <cell r="P1278">
            <v>3400611.6482505202</v>
          </cell>
        </row>
        <row r="1281">
          <cell r="P1281">
            <v>20805640.280000001</v>
          </cell>
        </row>
        <row r="1285">
          <cell r="P1285">
            <v>10934534.130000001</v>
          </cell>
        </row>
        <row r="1286">
          <cell r="P1286">
            <v>7975487.5099999998</v>
          </cell>
        </row>
        <row r="1294">
          <cell r="P1294">
            <v>8793821.4099999983</v>
          </cell>
        </row>
        <row r="1296">
          <cell r="P1296">
            <v>814647.31</v>
          </cell>
        </row>
        <row r="1301">
          <cell r="P1301">
            <v>11972153.99</v>
          </cell>
        </row>
        <row r="1306">
          <cell r="P1306">
            <v>2673657.1000000006</v>
          </cell>
        </row>
        <row r="1308">
          <cell r="P1308">
            <v>14665320.020000001</v>
          </cell>
        </row>
        <row r="1314">
          <cell r="P1314">
            <v>7612852.580000001</v>
          </cell>
        </row>
        <row r="1315">
          <cell r="P1315">
            <v>14974337.279999999</v>
          </cell>
        </row>
        <row r="1316">
          <cell r="P1316">
            <v>15077925.823736895</v>
          </cell>
        </row>
        <row r="1317">
          <cell r="P1317">
            <v>13785920.090553602</v>
          </cell>
        </row>
        <row r="1319">
          <cell r="P1319">
            <v>10774936.568556484</v>
          </cell>
        </row>
        <row r="1320">
          <cell r="P1320">
            <v>68724484.541067153</v>
          </cell>
        </row>
        <row r="1321">
          <cell r="P1321">
            <v>28844355.756347861</v>
          </cell>
        </row>
        <row r="1324">
          <cell r="P1324">
            <v>9820657.0276372358</v>
          </cell>
        </row>
        <row r="1325">
          <cell r="P1325">
            <v>13784798.727035977</v>
          </cell>
        </row>
        <row r="1334">
          <cell r="P1334">
            <v>6842801.8264981452</v>
          </cell>
        </row>
        <row r="1335">
          <cell r="P1335">
            <v>4750358.9054348227</v>
          </cell>
        </row>
        <row r="1337">
          <cell r="P1337">
            <v>35832588.360442266</v>
          </cell>
        </row>
        <row r="1338">
          <cell r="P1338">
            <v>21784542.310804792</v>
          </cell>
        </row>
        <row r="1340">
          <cell r="P1340">
            <v>12384063.35747618</v>
          </cell>
        </row>
        <row r="1347">
          <cell r="P1347">
            <v>5082118.7174243601</v>
          </cell>
        </row>
        <row r="1348">
          <cell r="P1348">
            <v>7981211.9150822638</v>
          </cell>
        </row>
        <row r="1349">
          <cell r="P1349">
            <v>5382673.6393641736</v>
          </cell>
        </row>
        <row r="1350">
          <cell r="P1350">
            <v>5925171.9963253513</v>
          </cell>
        </row>
        <row r="1351">
          <cell r="P1351">
            <v>4691560.120000001</v>
          </cell>
        </row>
        <row r="1352">
          <cell r="P1352">
            <v>4628133.1740000006</v>
          </cell>
        </row>
        <row r="1353">
          <cell r="P1353">
            <v>4627497.6339999996</v>
          </cell>
        </row>
        <row r="1355">
          <cell r="P1355">
            <v>7381410.1939847954</v>
          </cell>
        </row>
        <row r="1360">
          <cell r="P1360">
            <v>16747308.559999997</v>
          </cell>
        </row>
        <row r="1361">
          <cell r="P1361">
            <v>5697191.24052516</v>
          </cell>
        </row>
        <row r="1364">
          <cell r="P1364">
            <v>4942188.7322580125</v>
          </cell>
        </row>
        <row r="1394">
          <cell r="P1394">
            <v>2850213.8939999994</v>
          </cell>
        </row>
        <row r="1405">
          <cell r="P1405">
            <v>18516086.076521635</v>
          </cell>
        </row>
        <row r="1407">
          <cell r="P1407">
            <v>17617996.979020003</v>
          </cell>
        </row>
        <row r="1408">
          <cell r="P1408">
            <v>4666842.1000000024</v>
          </cell>
        </row>
        <row r="1409">
          <cell r="P1409">
            <v>5352796.87</v>
          </cell>
        </row>
        <row r="1436">
          <cell r="P1436">
            <v>4923239.2420000006</v>
          </cell>
        </row>
        <row r="1441">
          <cell r="P1441">
            <v>16320070.789600002</v>
          </cell>
        </row>
        <row r="1442">
          <cell r="P1442">
            <v>32927911.943400003</v>
          </cell>
        </row>
        <row r="1446">
          <cell r="P1446">
            <v>5118132.1986000007</v>
          </cell>
        </row>
        <row r="1447">
          <cell r="P1447">
            <v>3635674.0560000003</v>
          </cell>
        </row>
        <row r="1448">
          <cell r="P1448">
            <v>3799631.5219999999</v>
          </cell>
        </row>
        <row r="1449">
          <cell r="P1449">
            <v>3673790.7999999993</v>
          </cell>
        </row>
        <row r="1450">
          <cell r="P1450">
            <v>6790220.8983999994</v>
          </cell>
        </row>
        <row r="1451">
          <cell r="P1451">
            <v>5148720.6204000004</v>
          </cell>
        </row>
        <row r="1452">
          <cell r="P1452">
            <v>10220487.799999999</v>
          </cell>
        </row>
        <row r="1453">
          <cell r="P1453">
            <v>10120372.9</v>
          </cell>
        </row>
        <row r="1455">
          <cell r="P1455">
            <v>7904297.4499999993</v>
          </cell>
        </row>
        <row r="1456">
          <cell r="P1456">
            <v>7927913.5899999999</v>
          </cell>
        </row>
        <row r="1460">
          <cell r="P1460">
            <v>17899814.769200001</v>
          </cell>
        </row>
        <row r="1461">
          <cell r="P1461">
            <v>8689774.1664000005</v>
          </cell>
        </row>
        <row r="1462">
          <cell r="P1462">
            <v>8942163.842600001</v>
          </cell>
        </row>
        <row r="1463">
          <cell r="P1463">
            <v>5874806.0499999989</v>
          </cell>
        </row>
        <row r="1464">
          <cell r="P1464">
            <v>8029475.7112000007</v>
          </cell>
        </row>
        <row r="1466">
          <cell r="P1466">
            <v>1385886.2399999993</v>
          </cell>
        </row>
        <row r="1472">
          <cell r="P1472">
            <v>17431219.305</v>
          </cell>
        </row>
        <row r="1473">
          <cell r="P1473">
            <v>17664925.835999999</v>
          </cell>
        </row>
        <row r="1474">
          <cell r="P1474">
            <v>9286783.6500000004</v>
          </cell>
        </row>
        <row r="1479">
          <cell r="P1479">
            <v>0</v>
          </cell>
        </row>
        <row r="1484">
          <cell r="P1484">
            <v>767679.26</v>
          </cell>
        </row>
        <row r="1488">
          <cell r="P1488">
            <v>6782915.0899999989</v>
          </cell>
        </row>
        <row r="1492">
          <cell r="P1492">
            <v>11324509.940000001</v>
          </cell>
        </row>
        <row r="1493">
          <cell r="P1493">
            <v>11064503.170000002</v>
          </cell>
        </row>
        <row r="1497">
          <cell r="P1497">
            <v>9360919.4597700853</v>
          </cell>
        </row>
        <row r="1498">
          <cell r="P1498">
            <v>35125504.509400003</v>
          </cell>
        </row>
        <row r="1507">
          <cell r="P1507">
            <v>6201167.1648000013</v>
          </cell>
        </row>
        <row r="1514">
          <cell r="P1514">
            <v>1766974.8328</v>
          </cell>
        </row>
        <row r="1515">
          <cell r="P1515">
            <v>5460204.9731010552</v>
          </cell>
        </row>
        <row r="1516">
          <cell r="P1516">
            <v>3009612.9322225135</v>
          </cell>
        </row>
        <row r="1524">
          <cell r="P1524">
            <v>8953416.5720000006</v>
          </cell>
        </row>
        <row r="1526">
          <cell r="P1526">
            <v>10926695.726555292</v>
          </cell>
        </row>
        <row r="1527">
          <cell r="P1527">
            <v>7308913.5143999998</v>
          </cell>
        </row>
        <row r="1539">
          <cell r="P1539">
            <v>5551.6368277781876</v>
          </cell>
        </row>
        <row r="1544">
          <cell r="P1544">
            <v>18836624.15000001</v>
          </cell>
        </row>
        <row r="1552">
          <cell r="P1552">
            <v>18660729.039600004</v>
          </cell>
        </row>
        <row r="1554">
          <cell r="P1554">
            <v>46996321.7892</v>
          </cell>
        </row>
        <row r="1555">
          <cell r="P1555">
            <v>47626660.849200003</v>
          </cell>
        </row>
        <row r="1556">
          <cell r="P1556">
            <v>19606746.234399997</v>
          </cell>
        </row>
        <row r="1557">
          <cell r="P1557">
            <v>45984703.786200002</v>
          </cell>
        </row>
        <row r="1558">
          <cell r="P1558">
            <v>18498824.305400003</v>
          </cell>
        </row>
        <row r="1581">
          <cell r="P1581">
            <v>6006083.1100000013</v>
          </cell>
        </row>
        <row r="1582">
          <cell r="P1582">
            <v>839085.45</v>
          </cell>
        </row>
        <row r="1583">
          <cell r="P1583">
            <v>834297.89999999967</v>
          </cell>
        </row>
        <row r="1587">
          <cell r="P1587">
            <v>20645970.422800001</v>
          </cell>
        </row>
        <row r="1588">
          <cell r="P1588">
            <v>848123.50000000023</v>
          </cell>
        </row>
        <row r="1591">
          <cell r="P1591">
            <v>9986140.8715999983</v>
          </cell>
        </row>
        <row r="1597">
          <cell r="P1597">
            <v>8637162.3732000012</v>
          </cell>
        </row>
        <row r="1602">
          <cell r="P1602">
            <v>11116471.307599999</v>
          </cell>
        </row>
        <row r="1603">
          <cell r="P1603">
            <v>31682866.242800001</v>
          </cell>
        </row>
        <row r="1605">
          <cell r="P1605">
            <v>11592778.645199999</v>
          </cell>
        </row>
        <row r="1606">
          <cell r="P1606">
            <v>18078568.269060005</v>
          </cell>
        </row>
        <row r="1615">
          <cell r="P1615">
            <v>11016215.039819999</v>
          </cell>
        </row>
        <row r="1617">
          <cell r="P1617">
            <v>2359754.6799999997</v>
          </cell>
        </row>
        <row r="1618">
          <cell r="P1618">
            <v>3009677.8000000007</v>
          </cell>
        </row>
        <row r="1619">
          <cell r="P1619">
            <v>3506296.2200000007</v>
          </cell>
        </row>
        <row r="1622">
          <cell r="P1622">
            <v>2937188.2700000005</v>
          </cell>
        </row>
        <row r="1623">
          <cell r="P1623">
            <v>2820686.4100000029</v>
          </cell>
        </row>
        <row r="1625">
          <cell r="P1625">
            <v>974157.44</v>
          </cell>
        </row>
        <row r="1633">
          <cell r="P1633">
            <v>10281460.552799994</v>
          </cell>
        </row>
        <row r="1634">
          <cell r="P1634">
            <v>10547828.741799995</v>
          </cell>
        </row>
        <row r="1635">
          <cell r="P1635">
            <v>10618788.610999998</v>
          </cell>
        </row>
        <row r="1641">
          <cell r="P1641">
            <v>16391000.379999999</v>
          </cell>
        </row>
        <row r="1671">
          <cell r="P1671">
            <v>22164994.906539205</v>
          </cell>
        </row>
        <row r="1675">
          <cell r="P1675">
            <v>31839336.478</v>
          </cell>
        </row>
        <row r="1679">
          <cell r="P1679">
            <v>7816186.6856000014</v>
          </cell>
        </row>
        <row r="1680">
          <cell r="P1680">
            <v>1470770.9100000001</v>
          </cell>
        </row>
        <row r="1681">
          <cell r="P1681">
            <v>13317017.774480004</v>
          </cell>
        </row>
        <row r="1702">
          <cell r="P1702">
            <v>4809755.76</v>
          </cell>
        </row>
        <row r="1719">
          <cell r="P1719">
            <v>6104857.2736000009</v>
          </cell>
        </row>
        <row r="1720">
          <cell r="P1720">
            <v>19715751.532400005</v>
          </cell>
        </row>
        <row r="1721">
          <cell r="P1721">
            <v>10704091.609200001</v>
          </cell>
        </row>
        <row r="1732">
          <cell r="P1732">
            <v>12406802.23</v>
          </cell>
        </row>
        <row r="1737">
          <cell r="P1737">
            <v>2906401.1700000009</v>
          </cell>
        </row>
        <row r="1738">
          <cell r="P1738">
            <v>5827130.3199999975</v>
          </cell>
        </row>
        <row r="1739">
          <cell r="P1739">
            <v>9678456.9699999988</v>
          </cell>
        </row>
        <row r="1740">
          <cell r="P1740">
            <v>1330281.73</v>
          </cell>
        </row>
        <row r="1743">
          <cell r="P1743">
            <v>6523456.2803999996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3"/>
      <sheetName val="Лист2"/>
      <sheetName val="Прил 2 оконч"/>
      <sheetName val="Лист1"/>
      <sheetName val="Приложение №3"/>
      <sheetName val="ПСД 21"/>
    </sheetNames>
    <sheetDataSet>
      <sheetData sheetId="0">
        <row r="485">
          <cell r="N485">
            <v>2403779.8799999994</v>
          </cell>
        </row>
      </sheetData>
      <sheetData sheetId="1">
        <row r="485">
          <cell r="E485">
            <v>2403779.88</v>
          </cell>
        </row>
      </sheetData>
      <sheetData sheetId="2" refreshError="1"/>
      <sheetData sheetId="3" refreshError="1"/>
      <sheetData sheetId="4">
        <row r="485">
          <cell r="E485">
            <v>2403779.8799999994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Р 2019-2020 опл по источн"/>
      <sheetName val="КПКР 2021 оплата по источникам"/>
      <sheetName val="Лист1"/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 refreshError="1"/>
      <sheetData sheetId="1">
        <row r="1185">
          <cell r="BG1185">
            <v>1170073.3600000001</v>
          </cell>
        </row>
        <row r="1187">
          <cell r="BG1187">
            <v>828630.51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 3"/>
      <sheetName val="Приложение № 4"/>
      <sheetName val="Лист1"/>
    </sheetNames>
    <sheetDataSet>
      <sheetData sheetId="0"/>
      <sheetData sheetId="1"/>
      <sheetData sheetId="2"/>
      <sheetData sheetId="3">
        <row r="13">
          <cell r="E13">
            <v>1765327.31</v>
          </cell>
        </row>
        <row r="14">
          <cell r="E14">
            <v>628645.94999999995</v>
          </cell>
        </row>
        <row r="15">
          <cell r="E15">
            <v>1379242.0499999998</v>
          </cell>
        </row>
        <row r="16">
          <cell r="E16">
            <v>560136.63000000012</v>
          </cell>
        </row>
        <row r="17">
          <cell r="E17">
            <v>441934.27</v>
          </cell>
        </row>
        <row r="18">
          <cell r="E18">
            <v>514059.43000000005</v>
          </cell>
        </row>
        <row r="19">
          <cell r="E19">
            <v>539082.57716751983</v>
          </cell>
        </row>
        <row r="20">
          <cell r="E20">
            <v>413345.9236279992</v>
          </cell>
        </row>
        <row r="21">
          <cell r="E21">
            <v>360975.41000000003</v>
          </cell>
        </row>
        <row r="22">
          <cell r="E22">
            <v>365115.69</v>
          </cell>
        </row>
        <row r="23">
          <cell r="E23">
            <v>1132940.07</v>
          </cell>
        </row>
        <row r="24">
          <cell r="E24">
            <v>1019590.6252053897</v>
          </cell>
        </row>
        <row r="25">
          <cell r="E25">
            <v>584127.39066321694</v>
          </cell>
        </row>
        <row r="26">
          <cell r="E26">
            <v>194947.9</v>
          </cell>
        </row>
        <row r="27">
          <cell r="E27">
            <v>544797.25</v>
          </cell>
        </row>
        <row r="28">
          <cell r="E28">
            <v>750904.93</v>
          </cell>
        </row>
        <row r="29">
          <cell r="E29">
            <v>334516.96000000002</v>
          </cell>
        </row>
        <row r="30">
          <cell r="E30">
            <v>325945.57</v>
          </cell>
        </row>
        <row r="31">
          <cell r="E31">
            <v>608400.32000000007</v>
          </cell>
        </row>
        <row r="32">
          <cell r="E32">
            <v>322133.13</v>
          </cell>
        </row>
        <row r="33">
          <cell r="E33">
            <v>496837.23</v>
          </cell>
        </row>
        <row r="34">
          <cell r="E34">
            <v>552243.46</v>
          </cell>
        </row>
        <row r="35">
          <cell r="E35">
            <v>834540.31</v>
          </cell>
        </row>
        <row r="36">
          <cell r="E36">
            <v>678517.30999999994</v>
          </cell>
        </row>
        <row r="37">
          <cell r="E37">
            <v>626355.59000000008</v>
          </cell>
        </row>
        <row r="38">
          <cell r="E38">
            <v>612556.79</v>
          </cell>
        </row>
        <row r="39">
          <cell r="E39">
            <v>613418.62000000011</v>
          </cell>
        </row>
        <row r="40">
          <cell r="E40">
            <v>254259.8</v>
          </cell>
        </row>
        <row r="41">
          <cell r="E41">
            <v>228321.53</v>
          </cell>
        </row>
        <row r="42">
          <cell r="E42">
            <v>322420.25</v>
          </cell>
        </row>
        <row r="43">
          <cell r="E43">
            <v>269093.41000000003</v>
          </cell>
        </row>
        <row r="44">
          <cell r="E44">
            <v>268599.84999999998</v>
          </cell>
        </row>
        <row r="45">
          <cell r="E45">
            <v>863995.04</v>
          </cell>
        </row>
        <row r="46">
          <cell r="E46">
            <v>322757.76000000001</v>
          </cell>
        </row>
        <row r="47">
          <cell r="E47">
            <v>332755.06</v>
          </cell>
        </row>
        <row r="48">
          <cell r="E48">
            <v>998050.20000000019</v>
          </cell>
        </row>
        <row r="49">
          <cell r="E49">
            <v>460868.39999999997</v>
          </cell>
        </row>
        <row r="50">
          <cell r="E50">
            <v>796517.34</v>
          </cell>
        </row>
        <row r="51">
          <cell r="E51">
            <v>382753.72860983951</v>
          </cell>
        </row>
        <row r="52">
          <cell r="E52">
            <v>1418184.5214474853</v>
          </cell>
        </row>
        <row r="53">
          <cell r="E53">
            <v>706531.21580926236</v>
          </cell>
        </row>
        <row r="54">
          <cell r="E54">
            <v>469117.85018307797</v>
          </cell>
        </row>
        <row r="55">
          <cell r="E55">
            <v>1383529.4714977562</v>
          </cell>
        </row>
        <row r="56">
          <cell r="E56">
            <v>450951.80070266448</v>
          </cell>
        </row>
        <row r="57">
          <cell r="E57">
            <v>427851.16874364635</v>
          </cell>
        </row>
        <row r="58">
          <cell r="E58">
            <v>1329258.7059235161</v>
          </cell>
        </row>
        <row r="59">
          <cell r="E59">
            <v>1434629.2921652414</v>
          </cell>
        </row>
        <row r="60">
          <cell r="E60">
            <v>451412.75421461329</v>
          </cell>
        </row>
        <row r="61">
          <cell r="E61">
            <v>267582.33999999997</v>
          </cell>
        </row>
        <row r="62">
          <cell r="E62">
            <v>477598.53011454962</v>
          </cell>
        </row>
        <row r="63">
          <cell r="E63">
            <v>1292424.21</v>
          </cell>
        </row>
        <row r="64">
          <cell r="E64">
            <v>1060645.6500000001</v>
          </cell>
        </row>
        <row r="65">
          <cell r="E65">
            <v>747051.57000000007</v>
          </cell>
        </row>
        <row r="66">
          <cell r="E66">
            <v>309619.23</v>
          </cell>
        </row>
        <row r="67">
          <cell r="E67">
            <v>579578.69999999995</v>
          </cell>
        </row>
        <row r="68">
          <cell r="E68">
            <v>347451.22</v>
          </cell>
        </row>
        <row r="69">
          <cell r="E69">
            <v>400458.23</v>
          </cell>
        </row>
        <row r="70">
          <cell r="E70">
            <v>644109.07000000007</v>
          </cell>
        </row>
        <row r="71">
          <cell r="E71">
            <v>645433.58000000007</v>
          </cell>
        </row>
        <row r="72">
          <cell r="E72">
            <v>489797.92999999993</v>
          </cell>
        </row>
        <row r="73">
          <cell r="E73">
            <v>510180.1</v>
          </cell>
        </row>
        <row r="74">
          <cell r="E74">
            <v>291856.58</v>
          </cell>
        </row>
        <row r="75">
          <cell r="E75">
            <v>628730.09</v>
          </cell>
        </row>
        <row r="76">
          <cell r="E76">
            <v>679433.91</v>
          </cell>
        </row>
        <row r="77">
          <cell r="E77">
            <v>352064.63038420893</v>
          </cell>
        </row>
        <row r="78">
          <cell r="E78">
            <v>355412.14547568292</v>
          </cell>
        </row>
        <row r="79">
          <cell r="E79">
            <v>354985.9572117221</v>
          </cell>
        </row>
        <row r="80">
          <cell r="E80">
            <v>330088.81371888478</v>
          </cell>
        </row>
        <row r="81">
          <cell r="E81">
            <v>364408.59228401899</v>
          </cell>
        </row>
        <row r="82">
          <cell r="E82">
            <v>382905.16293991776</v>
          </cell>
        </row>
        <row r="83">
          <cell r="E83">
            <v>30258.98</v>
          </cell>
        </row>
        <row r="84">
          <cell r="E84">
            <v>570579.72</v>
          </cell>
        </row>
        <row r="85">
          <cell r="E85">
            <v>356159.53</v>
          </cell>
        </row>
        <row r="86">
          <cell r="E86">
            <v>315921.42</v>
          </cell>
        </row>
        <row r="87">
          <cell r="E87">
            <v>398499.78</v>
          </cell>
        </row>
        <row r="88">
          <cell r="E88">
            <v>569954.38</v>
          </cell>
        </row>
        <row r="89">
          <cell r="E89">
            <v>335675.75441553449</v>
          </cell>
        </row>
        <row r="90">
          <cell r="E90">
            <v>349563.7261175625</v>
          </cell>
        </row>
        <row r="91">
          <cell r="E91">
            <v>341642.39011098578</v>
          </cell>
        </row>
        <row r="92">
          <cell r="E92">
            <v>459705.43000000005</v>
          </cell>
        </row>
        <row r="93">
          <cell r="E93">
            <v>166703.26</v>
          </cell>
        </row>
        <row r="94">
          <cell r="E94">
            <v>173573.47</v>
          </cell>
        </row>
        <row r="95">
          <cell r="E95">
            <v>779598.42999999993</v>
          </cell>
        </row>
        <row r="96">
          <cell r="E96">
            <v>1035363.46</v>
          </cell>
        </row>
        <row r="97">
          <cell r="E97">
            <v>412442.82787746476</v>
          </cell>
        </row>
        <row r="98">
          <cell r="E98">
            <v>314561.06</v>
          </cell>
        </row>
        <row r="99">
          <cell r="E99">
            <v>816121.81</v>
          </cell>
        </row>
        <row r="100">
          <cell r="E100">
            <v>527866.23</v>
          </cell>
        </row>
        <row r="101">
          <cell r="E101">
            <v>425235.56999999995</v>
          </cell>
        </row>
        <row r="102">
          <cell r="E102">
            <v>894975.79999999993</v>
          </cell>
        </row>
        <row r="103">
          <cell r="E103">
            <v>298717.92</v>
          </cell>
        </row>
        <row r="104">
          <cell r="E104">
            <v>658104.89</v>
          </cell>
        </row>
        <row r="105">
          <cell r="E105">
            <v>1389861.8</v>
          </cell>
        </row>
        <row r="106">
          <cell r="E106">
            <v>409917.87</v>
          </cell>
        </row>
        <row r="107">
          <cell r="E107">
            <v>181853.98</v>
          </cell>
        </row>
        <row r="108">
          <cell r="E108">
            <v>316118.53000000003</v>
          </cell>
        </row>
        <row r="109">
          <cell r="E109">
            <v>344861.6</v>
          </cell>
        </row>
        <row r="110">
          <cell r="E110">
            <v>284554.5</v>
          </cell>
        </row>
        <row r="111">
          <cell r="E111">
            <v>316646.27999999997</v>
          </cell>
        </row>
        <row r="112">
          <cell r="E112">
            <v>213070.32</v>
          </cell>
        </row>
        <row r="113">
          <cell r="E113">
            <v>777051.21</v>
          </cell>
        </row>
        <row r="114">
          <cell r="E114">
            <v>112633.63</v>
          </cell>
        </row>
        <row r="115">
          <cell r="E115">
            <v>495351.51</v>
          </cell>
        </row>
        <row r="116">
          <cell r="E116">
            <v>219585.07</v>
          </cell>
        </row>
        <row r="117">
          <cell r="E117">
            <v>979401.28</v>
          </cell>
        </row>
        <row r="118">
          <cell r="E118">
            <v>1060519.5599999998</v>
          </cell>
        </row>
        <row r="119">
          <cell r="E119">
            <v>1130630.8899999999</v>
          </cell>
        </row>
        <row r="120">
          <cell r="E120">
            <v>1051018.73</v>
          </cell>
        </row>
        <row r="121">
          <cell r="E121">
            <v>865571.13</v>
          </cell>
        </row>
        <row r="122">
          <cell r="E122">
            <v>206798.07999999999</v>
          </cell>
        </row>
        <row r="123">
          <cell r="E123">
            <v>630100.6</v>
          </cell>
        </row>
        <row r="124">
          <cell r="E124">
            <v>24000</v>
          </cell>
        </row>
        <row r="125">
          <cell r="E125">
            <v>24000</v>
          </cell>
        </row>
        <row r="126">
          <cell r="E126">
            <v>24000</v>
          </cell>
        </row>
        <row r="127">
          <cell r="E127">
            <v>24000</v>
          </cell>
        </row>
        <row r="128">
          <cell r="E128">
            <v>24000</v>
          </cell>
        </row>
        <row r="129">
          <cell r="E129">
            <v>1182275.27</v>
          </cell>
        </row>
        <row r="130">
          <cell r="E130">
            <v>1178062.1200000001</v>
          </cell>
        </row>
        <row r="131">
          <cell r="E131">
            <v>125146.44</v>
          </cell>
        </row>
        <row r="132">
          <cell r="E132">
            <v>124408.54</v>
          </cell>
        </row>
        <row r="133">
          <cell r="E133">
            <v>253995.31</v>
          </cell>
        </row>
        <row r="134">
          <cell r="E134">
            <v>278945.83999999997</v>
          </cell>
        </row>
        <row r="135">
          <cell r="E135">
            <v>428137.96</v>
          </cell>
        </row>
        <row r="136">
          <cell r="E136">
            <v>218514.1</v>
          </cell>
        </row>
        <row r="137">
          <cell r="E137">
            <v>960875.90000000014</v>
          </cell>
        </row>
        <row r="138">
          <cell r="E138">
            <v>1217591.97</v>
          </cell>
        </row>
        <row r="139">
          <cell r="E139">
            <v>967772.2200000002</v>
          </cell>
        </row>
        <row r="140">
          <cell r="E140">
            <v>1355397.4700000002</v>
          </cell>
        </row>
        <row r="141">
          <cell r="E141">
            <v>158258.59</v>
          </cell>
        </row>
        <row r="142">
          <cell r="E142">
            <v>375445.14</v>
          </cell>
        </row>
        <row r="143">
          <cell r="E143">
            <v>486303.72</v>
          </cell>
        </row>
        <row r="144">
          <cell r="E144">
            <v>522136.27999999997</v>
          </cell>
        </row>
        <row r="145">
          <cell r="E145">
            <v>1162265.5899999999</v>
          </cell>
        </row>
        <row r="146">
          <cell r="E146">
            <v>1514631.2099999997</v>
          </cell>
        </row>
        <row r="147">
          <cell r="E147">
            <v>576659.44999999995</v>
          </cell>
        </row>
        <row r="148">
          <cell r="E148">
            <v>48000</v>
          </cell>
        </row>
        <row r="149">
          <cell r="E149">
            <v>24000</v>
          </cell>
        </row>
        <row r="150">
          <cell r="E150">
            <v>24000</v>
          </cell>
        </row>
        <row r="151">
          <cell r="E151">
            <v>24000</v>
          </cell>
        </row>
        <row r="152">
          <cell r="E152">
            <v>24000</v>
          </cell>
        </row>
        <row r="153">
          <cell r="E153">
            <v>24000</v>
          </cell>
        </row>
        <row r="154">
          <cell r="E154">
            <v>24000</v>
          </cell>
        </row>
        <row r="155">
          <cell r="E155">
            <v>24000</v>
          </cell>
        </row>
        <row r="156">
          <cell r="E156">
            <v>819121.35000000021</v>
          </cell>
        </row>
        <row r="157">
          <cell r="E157">
            <v>573364.16</v>
          </cell>
        </row>
        <row r="158">
          <cell r="E158">
            <v>523999.34</v>
          </cell>
        </row>
        <row r="159">
          <cell r="E159">
            <v>550735.69999999995</v>
          </cell>
        </row>
        <row r="160">
          <cell r="E160">
            <v>635450.6</v>
          </cell>
        </row>
        <row r="161">
          <cell r="E161">
            <v>486902.27999999991</v>
          </cell>
        </row>
        <row r="162">
          <cell r="E162">
            <v>1413561.83</v>
          </cell>
        </row>
        <row r="163">
          <cell r="E163">
            <v>512696.55000000005</v>
          </cell>
        </row>
        <row r="164">
          <cell r="E164">
            <v>951248.59999999986</v>
          </cell>
        </row>
        <row r="165">
          <cell r="E165">
            <v>266552.34999999998</v>
          </cell>
        </row>
        <row r="166">
          <cell r="E166">
            <v>1612207.31</v>
          </cell>
        </row>
        <row r="167">
          <cell r="E167">
            <v>1234956.9000000001</v>
          </cell>
        </row>
        <row r="168">
          <cell r="E168">
            <v>536165.37</v>
          </cell>
        </row>
        <row r="169">
          <cell r="E169">
            <v>810630.17</v>
          </cell>
        </row>
        <row r="170">
          <cell r="E170">
            <v>841259.35</v>
          </cell>
        </row>
        <row r="171">
          <cell r="E171">
            <v>486381.39</v>
          </cell>
        </row>
        <row r="172">
          <cell r="E172">
            <v>287836.49</v>
          </cell>
        </row>
        <row r="173">
          <cell r="E173">
            <v>407307.97</v>
          </cell>
        </row>
        <row r="174">
          <cell r="E174">
            <v>349636.26</v>
          </cell>
        </row>
        <row r="175">
          <cell r="E175">
            <v>127875.57</v>
          </cell>
        </row>
        <row r="176">
          <cell r="E176">
            <v>149898.04999999999</v>
          </cell>
        </row>
        <row r="177">
          <cell r="E177">
            <v>137096.17000000001</v>
          </cell>
        </row>
        <row r="178">
          <cell r="E178">
            <v>117982</v>
          </cell>
        </row>
        <row r="179">
          <cell r="E179">
            <v>109894.5</v>
          </cell>
        </row>
        <row r="180">
          <cell r="E180">
            <v>51713.97</v>
          </cell>
        </row>
        <row r="181">
          <cell r="E181">
            <v>27618.76</v>
          </cell>
        </row>
        <row r="182">
          <cell r="E182">
            <v>54759.17</v>
          </cell>
        </row>
        <row r="183">
          <cell r="E183">
            <v>54727.43</v>
          </cell>
        </row>
        <row r="184">
          <cell r="E184">
            <v>136538.59</v>
          </cell>
        </row>
        <row r="185">
          <cell r="E185">
            <v>113183.56</v>
          </cell>
        </row>
        <row r="186">
          <cell r="E186">
            <v>93857</v>
          </cell>
        </row>
        <row r="187">
          <cell r="E187">
            <v>120164.31</v>
          </cell>
        </row>
        <row r="188">
          <cell r="E188">
            <v>97271.89</v>
          </cell>
        </row>
        <row r="189">
          <cell r="E189">
            <v>143204.79999999999</v>
          </cell>
        </row>
        <row r="190">
          <cell r="E190">
            <v>52602.23</v>
          </cell>
        </row>
        <row r="191">
          <cell r="E191">
            <v>759551.38000000012</v>
          </cell>
        </row>
        <row r="192">
          <cell r="E192">
            <v>158663.30000000002</v>
          </cell>
        </row>
        <row r="193">
          <cell r="E193">
            <v>90391.22</v>
          </cell>
        </row>
        <row r="194">
          <cell r="E194">
            <v>165401.01999999999</v>
          </cell>
        </row>
        <row r="195">
          <cell r="E195">
            <v>208906.47999999998</v>
          </cell>
        </row>
        <row r="196">
          <cell r="E196">
            <v>208225.19</v>
          </cell>
        </row>
        <row r="197">
          <cell r="E197">
            <v>291527.46999999997</v>
          </cell>
        </row>
        <row r="198">
          <cell r="E198">
            <v>234212.08000000002</v>
          </cell>
        </row>
        <row r="199">
          <cell r="E199">
            <v>406095.02</v>
          </cell>
        </row>
        <row r="200">
          <cell r="E200">
            <v>1383147.26</v>
          </cell>
        </row>
        <row r="201">
          <cell r="E201">
            <v>82537.200845238855</v>
          </cell>
        </row>
        <row r="202">
          <cell r="E202">
            <v>145201.22</v>
          </cell>
        </row>
        <row r="203">
          <cell r="E203">
            <v>435346.44</v>
          </cell>
        </row>
        <row r="204">
          <cell r="E204">
            <v>112223.26582337829</v>
          </cell>
        </row>
        <row r="205">
          <cell r="E205">
            <v>1336365.3899999999</v>
          </cell>
        </row>
        <row r="206">
          <cell r="E206">
            <v>1977855.4499999997</v>
          </cell>
        </row>
        <row r="207">
          <cell r="E207">
            <v>401324.47</v>
          </cell>
        </row>
        <row r="208">
          <cell r="E208">
            <v>270010.12</v>
          </cell>
        </row>
        <row r="209">
          <cell r="E209">
            <v>161111.72</v>
          </cell>
        </row>
        <row r="210">
          <cell r="E210">
            <v>159616.04999999999</v>
          </cell>
        </row>
        <row r="211">
          <cell r="E211">
            <v>163637.26999999999</v>
          </cell>
        </row>
        <row r="212">
          <cell r="E212">
            <v>244655.29</v>
          </cell>
        </row>
        <row r="213">
          <cell r="E213">
            <v>202894.83</v>
          </cell>
        </row>
        <row r="214">
          <cell r="E214">
            <v>139588.24</v>
          </cell>
        </row>
        <row r="215">
          <cell r="E215">
            <v>134430.18</v>
          </cell>
        </row>
        <row r="216">
          <cell r="E216">
            <v>113169.23</v>
          </cell>
        </row>
        <row r="217">
          <cell r="E217">
            <v>375830.81</v>
          </cell>
        </row>
        <row r="218">
          <cell r="E218">
            <v>252162.69</v>
          </cell>
        </row>
        <row r="219">
          <cell r="E219">
            <v>201169.38</v>
          </cell>
        </row>
        <row r="220">
          <cell r="E220">
            <v>352845.43</v>
          </cell>
        </row>
        <row r="221">
          <cell r="E221">
            <v>252532.38999999998</v>
          </cell>
        </row>
        <row r="222">
          <cell r="E222">
            <v>380273.64</v>
          </cell>
        </row>
        <row r="223">
          <cell r="E223">
            <v>148651.82</v>
          </cell>
        </row>
        <row r="224">
          <cell r="E224">
            <v>356869.12000000005</v>
          </cell>
        </row>
        <row r="225">
          <cell r="E225">
            <v>390055.05</v>
          </cell>
        </row>
        <row r="226">
          <cell r="E226">
            <v>480430.27000000008</v>
          </cell>
        </row>
        <row r="227">
          <cell r="E227">
            <v>377148.54</v>
          </cell>
        </row>
        <row r="228">
          <cell r="E228">
            <v>259197.48</v>
          </cell>
        </row>
        <row r="229">
          <cell r="E229">
            <v>253253.27000000002</v>
          </cell>
        </row>
        <row r="230">
          <cell r="E230">
            <v>888060.27999999991</v>
          </cell>
        </row>
        <row r="231">
          <cell r="E231">
            <v>365040.37</v>
          </cell>
        </row>
        <row r="232">
          <cell r="E232">
            <v>237999.66</v>
          </cell>
        </row>
        <row r="233">
          <cell r="E233">
            <v>219802.34000000003</v>
          </cell>
        </row>
        <row r="234">
          <cell r="E234">
            <v>492619.01999999996</v>
          </cell>
        </row>
        <row r="235">
          <cell r="E235">
            <v>913803.31999999983</v>
          </cell>
        </row>
        <row r="236">
          <cell r="E236">
            <v>447467.5</v>
          </cell>
        </row>
        <row r="237">
          <cell r="E237">
            <v>330031.41000000003</v>
          </cell>
        </row>
        <row r="238">
          <cell r="E238">
            <v>489810.22000000009</v>
          </cell>
        </row>
        <row r="239">
          <cell r="E239">
            <v>265087.77</v>
          </cell>
        </row>
        <row r="240">
          <cell r="E240">
            <v>151227.33000000002</v>
          </cell>
        </row>
        <row r="241">
          <cell r="E241">
            <v>347385.10000000003</v>
          </cell>
        </row>
        <row r="242">
          <cell r="E242">
            <v>228991.22</v>
          </cell>
        </row>
        <row r="243">
          <cell r="E243">
            <v>243246.87000000002</v>
          </cell>
        </row>
        <row r="244">
          <cell r="E244">
            <v>247222.07</v>
          </cell>
        </row>
        <row r="245">
          <cell r="E245">
            <v>249477.59</v>
          </cell>
        </row>
        <row r="246">
          <cell r="E246">
            <v>249497.74000000005</v>
          </cell>
        </row>
        <row r="247">
          <cell r="E247">
            <v>24000</v>
          </cell>
        </row>
        <row r="248">
          <cell r="E248">
            <v>361702.52</v>
          </cell>
        </row>
        <row r="249">
          <cell r="E249">
            <v>267536.37</v>
          </cell>
        </row>
        <row r="250">
          <cell r="E250">
            <v>106870.23</v>
          </cell>
        </row>
        <row r="251">
          <cell r="E251">
            <v>159665.22</v>
          </cell>
        </row>
        <row r="252">
          <cell r="E252">
            <v>295192.57</v>
          </cell>
        </row>
        <row r="253">
          <cell r="E253">
            <v>490976.17999999993</v>
          </cell>
        </row>
        <row r="254">
          <cell r="E254">
            <v>525619.65</v>
          </cell>
        </row>
        <row r="255">
          <cell r="E255">
            <v>935051.49</v>
          </cell>
        </row>
        <row r="256">
          <cell r="E256">
            <v>136292.94</v>
          </cell>
        </row>
        <row r="257">
          <cell r="E257">
            <v>134720.23000000001</v>
          </cell>
        </row>
        <row r="258">
          <cell r="E258">
            <v>519241.49000000005</v>
          </cell>
        </row>
        <row r="259">
          <cell r="E259">
            <v>695202.3</v>
          </cell>
        </row>
        <row r="260">
          <cell r="E260">
            <v>363410.07</v>
          </cell>
        </row>
        <row r="261">
          <cell r="E261">
            <v>176664.86</v>
          </cell>
        </row>
        <row r="262">
          <cell r="E262">
            <v>302018.38</v>
          </cell>
        </row>
        <row r="263">
          <cell r="E263">
            <v>143935.49000000002</v>
          </cell>
        </row>
        <row r="264">
          <cell r="E264">
            <v>130555.51999999999</v>
          </cell>
        </row>
        <row r="265">
          <cell r="E265">
            <v>303189.93</v>
          </cell>
        </row>
        <row r="266">
          <cell r="E266">
            <v>171877.99</v>
          </cell>
        </row>
        <row r="267">
          <cell r="E267">
            <v>272770.56</v>
          </cell>
        </row>
        <row r="268">
          <cell r="E268">
            <v>403501.25</v>
          </cell>
        </row>
        <row r="269">
          <cell r="E269">
            <v>261102.09</v>
          </cell>
        </row>
        <row r="270">
          <cell r="E270">
            <v>757264.42999999993</v>
          </cell>
        </row>
        <row r="271">
          <cell r="E271">
            <v>247238.84</v>
          </cell>
        </row>
        <row r="272">
          <cell r="E272">
            <v>142668.31</v>
          </cell>
        </row>
        <row r="273">
          <cell r="E273">
            <v>644876.55000000005</v>
          </cell>
        </row>
        <row r="274">
          <cell r="E274">
            <v>165696.95999999999</v>
          </cell>
        </row>
        <row r="275">
          <cell r="E275">
            <v>268177.34059008001</v>
          </cell>
        </row>
        <row r="276">
          <cell r="E276">
            <v>226580.60883839999</v>
          </cell>
        </row>
        <row r="277">
          <cell r="E277">
            <v>221565.7494528</v>
          </cell>
        </row>
        <row r="278">
          <cell r="E278">
            <v>287712.29393664002</v>
          </cell>
        </row>
        <row r="279">
          <cell r="E279">
            <v>277763.57585664</v>
          </cell>
        </row>
        <row r="280">
          <cell r="E280">
            <v>218024.09335680003</v>
          </cell>
        </row>
        <row r="281">
          <cell r="E281">
            <v>394760.17777919996</v>
          </cell>
        </row>
        <row r="282">
          <cell r="E282">
            <v>208540.08387089521</v>
          </cell>
        </row>
        <row r="283">
          <cell r="E283">
            <v>41034.599999999991</v>
          </cell>
        </row>
        <row r="284">
          <cell r="E284">
            <v>541814.91922176001</v>
          </cell>
        </row>
        <row r="285">
          <cell r="E285">
            <v>268357.36501248</v>
          </cell>
        </row>
        <row r="286">
          <cell r="E286">
            <v>287280.23532288003</v>
          </cell>
        </row>
        <row r="287">
          <cell r="E287">
            <v>281461.13080186542</v>
          </cell>
        </row>
        <row r="288">
          <cell r="E288">
            <v>287831.67855359998</v>
          </cell>
        </row>
        <row r="289">
          <cell r="E289">
            <v>322815.71727245557</v>
          </cell>
        </row>
        <row r="290">
          <cell r="E290">
            <v>241502.54621568002</v>
          </cell>
        </row>
        <row r="291">
          <cell r="E291">
            <v>898204.23633291502</v>
          </cell>
        </row>
        <row r="292">
          <cell r="E292">
            <v>913643.51444501453</v>
          </cell>
        </row>
        <row r="293">
          <cell r="E293">
            <v>139829.15</v>
          </cell>
        </row>
        <row r="294">
          <cell r="E294">
            <v>325345.75</v>
          </cell>
        </row>
        <row r="295">
          <cell r="E295">
            <v>193273.23000000004</v>
          </cell>
        </row>
        <row r="296">
          <cell r="E296">
            <v>220690.63999999998</v>
          </cell>
        </row>
        <row r="297">
          <cell r="E297">
            <v>71066.701252655272</v>
          </cell>
        </row>
        <row r="298">
          <cell r="E298">
            <v>122177.85</v>
          </cell>
        </row>
        <row r="299">
          <cell r="E299">
            <v>1068939.3299999998</v>
          </cell>
        </row>
        <row r="300">
          <cell r="E300">
            <v>1564470.2899999998</v>
          </cell>
        </row>
        <row r="301">
          <cell r="E301">
            <v>1865203.4000000004</v>
          </cell>
        </row>
        <row r="302">
          <cell r="E302">
            <v>1393697.61</v>
          </cell>
        </row>
        <row r="303">
          <cell r="E303">
            <v>806648.31</v>
          </cell>
        </row>
        <row r="304">
          <cell r="E304">
            <v>1049040.8400000003</v>
          </cell>
        </row>
        <row r="305">
          <cell r="E305">
            <v>1047879.7699999999</v>
          </cell>
        </row>
        <row r="306">
          <cell r="E306">
            <v>1048133.78</v>
          </cell>
        </row>
        <row r="307">
          <cell r="E307">
            <v>1048629.6599999999</v>
          </cell>
        </row>
        <row r="308">
          <cell r="E308">
            <v>179293.58000000002</v>
          </cell>
        </row>
        <row r="309">
          <cell r="E309">
            <v>403663.92</v>
          </cell>
        </row>
        <row r="310">
          <cell r="E310">
            <v>826844.93</v>
          </cell>
        </row>
        <row r="311">
          <cell r="E311">
            <v>1817294.191355854</v>
          </cell>
        </row>
        <row r="312">
          <cell r="E312">
            <v>1811193.5735314607</v>
          </cell>
        </row>
        <row r="313">
          <cell r="E313">
            <v>504784.84</v>
          </cell>
        </row>
        <row r="314">
          <cell r="E314">
            <v>181262.38999999998</v>
          </cell>
        </row>
        <row r="315">
          <cell r="E315">
            <v>429328.74</v>
          </cell>
        </row>
        <row r="316">
          <cell r="E316">
            <v>773009.77523200004</v>
          </cell>
        </row>
        <row r="317">
          <cell r="E317">
            <v>364412.2</v>
          </cell>
        </row>
        <row r="318">
          <cell r="E318">
            <v>370434.04000000004</v>
          </cell>
        </row>
        <row r="319">
          <cell r="E319">
            <v>188929.96000000002</v>
          </cell>
        </row>
        <row r="320">
          <cell r="E320">
            <v>189106.75999999998</v>
          </cell>
        </row>
        <row r="321">
          <cell r="E321">
            <v>471293.04</v>
          </cell>
        </row>
        <row r="322">
          <cell r="E322">
            <v>420969.74</v>
          </cell>
        </row>
        <row r="323">
          <cell r="E323">
            <v>422368.42000000004</v>
          </cell>
        </row>
        <row r="324">
          <cell r="E324">
            <v>421146.89999999997</v>
          </cell>
        </row>
        <row r="325">
          <cell r="E325">
            <v>420842.81</v>
          </cell>
        </row>
        <row r="326">
          <cell r="E326">
            <v>474068.29999999993</v>
          </cell>
        </row>
        <row r="327">
          <cell r="E327">
            <v>187169.13</v>
          </cell>
        </row>
        <row r="328">
          <cell r="E328">
            <v>422492.39</v>
          </cell>
        </row>
        <row r="329">
          <cell r="E329">
            <v>409879.29560779349</v>
          </cell>
        </row>
        <row r="330">
          <cell r="E330">
            <v>408815.86045963498</v>
          </cell>
        </row>
        <row r="331">
          <cell r="E331">
            <v>2172802.8698562942</v>
          </cell>
        </row>
        <row r="332">
          <cell r="E332">
            <v>934622.45</v>
          </cell>
        </row>
        <row r="333">
          <cell r="E333">
            <v>911565.37420800002</v>
          </cell>
        </row>
        <row r="334">
          <cell r="E334">
            <v>496809.09589427832</v>
          </cell>
        </row>
        <row r="335">
          <cell r="E335">
            <v>16983.28</v>
          </cell>
        </row>
        <row r="336">
          <cell r="E336">
            <v>160776.678912</v>
          </cell>
        </row>
        <row r="337">
          <cell r="E337">
            <v>1773207.5725510609</v>
          </cell>
        </row>
        <row r="338">
          <cell r="E338">
            <v>864133.50417568884</v>
          </cell>
        </row>
        <row r="339">
          <cell r="E339">
            <v>1357951.5</v>
          </cell>
        </row>
        <row r="340">
          <cell r="E340">
            <v>1007589.79</v>
          </cell>
        </row>
        <row r="341">
          <cell r="E341">
            <v>935653.96</v>
          </cell>
        </row>
        <row r="342">
          <cell r="E342">
            <v>190555.65</v>
          </cell>
        </row>
        <row r="343">
          <cell r="E343">
            <v>140632.47</v>
          </cell>
        </row>
        <row r="344">
          <cell r="E344">
            <v>46838</v>
          </cell>
        </row>
        <row r="345">
          <cell r="E345">
            <v>442120.36</v>
          </cell>
        </row>
        <row r="346">
          <cell r="E346">
            <v>153059.96000000002</v>
          </cell>
        </row>
        <row r="347">
          <cell r="E347">
            <v>213448.34</v>
          </cell>
        </row>
        <row r="348">
          <cell r="E348">
            <v>153772.23000000001</v>
          </cell>
        </row>
        <row r="349">
          <cell r="E349">
            <v>104296.5</v>
          </cell>
        </row>
        <row r="350">
          <cell r="E350">
            <v>161679.23000000001</v>
          </cell>
        </row>
        <row r="351">
          <cell r="E351">
            <v>66155.19</v>
          </cell>
        </row>
        <row r="352">
          <cell r="E352">
            <v>552937.23</v>
          </cell>
        </row>
        <row r="353">
          <cell r="E353">
            <v>553802.07999999996</v>
          </cell>
        </row>
        <row r="354">
          <cell r="E354">
            <v>576194.22</v>
          </cell>
        </row>
        <row r="355">
          <cell r="E355">
            <v>466481.40988416004</v>
          </cell>
        </row>
        <row r="356">
          <cell r="E356">
            <v>568211.22844800004</v>
          </cell>
        </row>
        <row r="357">
          <cell r="E357">
            <v>568012.34</v>
          </cell>
        </row>
        <row r="358">
          <cell r="E358">
            <v>381208.15876160114</v>
          </cell>
        </row>
        <row r="359">
          <cell r="E359">
            <v>324873.81914350996</v>
          </cell>
        </row>
        <row r="360">
          <cell r="E360">
            <v>1851214.5910470171</v>
          </cell>
        </row>
        <row r="361">
          <cell r="E361">
            <v>77313.759999999995</v>
          </cell>
        </row>
        <row r="362">
          <cell r="E362">
            <v>85409.67</v>
          </cell>
        </row>
        <row r="363">
          <cell r="E363">
            <v>143639</v>
          </cell>
        </row>
        <row r="364">
          <cell r="E364">
            <v>188216.97</v>
          </cell>
        </row>
        <row r="365">
          <cell r="E365">
            <v>130976.76</v>
          </cell>
        </row>
        <row r="366">
          <cell r="E366">
            <v>455299.98</v>
          </cell>
        </row>
        <row r="367">
          <cell r="E367">
            <v>1132732.07</v>
          </cell>
        </row>
        <row r="368">
          <cell r="E368">
            <v>1137143.08</v>
          </cell>
        </row>
        <row r="369">
          <cell r="E369">
            <v>1133197.49</v>
          </cell>
        </row>
        <row r="370">
          <cell r="E370">
            <v>1385746.94</v>
          </cell>
        </row>
        <row r="371">
          <cell r="E371">
            <v>1143521.6100000001</v>
          </cell>
        </row>
        <row r="372">
          <cell r="E372">
            <v>1198330.0999999999</v>
          </cell>
        </row>
        <row r="373">
          <cell r="E373">
            <v>343290.73</v>
          </cell>
        </row>
        <row r="374">
          <cell r="E374">
            <v>286990.15000000002</v>
          </cell>
        </row>
        <row r="375">
          <cell r="E375">
            <v>231559.53999999998</v>
          </cell>
        </row>
        <row r="376">
          <cell r="E376">
            <v>227216.73</v>
          </cell>
        </row>
        <row r="377">
          <cell r="E377">
            <v>188310.15</v>
          </cell>
        </row>
        <row r="378">
          <cell r="E378">
            <v>1150935.7799999998</v>
          </cell>
        </row>
        <row r="379">
          <cell r="E379">
            <v>338593.19</v>
          </cell>
        </row>
        <row r="380">
          <cell r="E380">
            <v>133997.25</v>
          </cell>
        </row>
        <row r="381">
          <cell r="E381">
            <v>134321.91999999998</v>
          </cell>
        </row>
        <row r="382">
          <cell r="E382">
            <v>499228.68</v>
          </cell>
        </row>
        <row r="383">
          <cell r="E383">
            <v>559606.71</v>
          </cell>
        </row>
        <row r="384">
          <cell r="E384">
            <v>233973.65</v>
          </cell>
        </row>
        <row r="385">
          <cell r="E385">
            <v>233740.11000000002</v>
          </cell>
        </row>
        <row r="386">
          <cell r="E386">
            <v>181002.58000000002</v>
          </cell>
        </row>
        <row r="387">
          <cell r="E387">
            <v>180630.75</v>
          </cell>
        </row>
        <row r="388">
          <cell r="E388">
            <v>861634.79</v>
          </cell>
        </row>
        <row r="389">
          <cell r="E389">
            <v>177214.19</v>
          </cell>
        </row>
        <row r="390">
          <cell r="E390">
            <v>128755.15</v>
          </cell>
        </row>
        <row r="391">
          <cell r="E391">
            <v>791799.27999999991</v>
          </cell>
        </row>
        <row r="393">
          <cell r="E393">
            <v>579805.47</v>
          </cell>
        </row>
        <row r="395">
          <cell r="E395">
            <v>494691.55</v>
          </cell>
        </row>
        <row r="396">
          <cell r="E396">
            <v>307550.40000000002</v>
          </cell>
        </row>
        <row r="397">
          <cell r="E397">
            <v>34592.04</v>
          </cell>
        </row>
        <row r="398">
          <cell r="E398">
            <v>45408.83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</sheetNames>
    <sheetDataSet>
      <sheetData sheetId="0">
        <row r="83">
          <cell r="R83">
            <v>1440370.6732000001</v>
          </cell>
          <cell r="S83">
            <v>252659.82679999992</v>
          </cell>
        </row>
        <row r="136">
          <cell r="R136">
            <v>400888.39</v>
          </cell>
          <cell r="S136">
            <v>8500.140000000014</v>
          </cell>
        </row>
        <row r="137">
          <cell r="R137">
            <v>360173.08999999997</v>
          </cell>
        </row>
        <row r="188">
          <cell r="R188">
            <v>395324.3</v>
          </cell>
          <cell r="S188">
            <v>922239.35000000009</v>
          </cell>
        </row>
        <row r="189">
          <cell r="R189">
            <v>442306.38</v>
          </cell>
          <cell r="S189">
            <v>567472.1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I6">
            <v>3030178.26</v>
          </cell>
        </row>
        <row r="8">
          <cell r="I8">
            <v>4393109.2</v>
          </cell>
        </row>
        <row r="11">
          <cell r="I11">
            <v>681444.46</v>
          </cell>
        </row>
        <row r="15">
          <cell r="I15">
            <v>4026047.4499999997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  <sheetName val="Исключ"/>
    </sheetNames>
    <sheetDataSet>
      <sheetData sheetId="0">
        <row r="23">
          <cell r="R23">
            <v>279120.21891428571</v>
          </cell>
          <cell r="S23">
            <v>205178.19</v>
          </cell>
        </row>
        <row r="346">
          <cell r="R346">
            <v>2423166.85</v>
          </cell>
          <cell r="S346">
            <v>881043.56999999983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Лист1"/>
    </sheetNames>
    <sheetDataSet>
      <sheetData sheetId="0"/>
      <sheetData sheetId="1">
        <row r="64">
          <cell r="E64">
            <v>4768439.38</v>
          </cell>
        </row>
        <row r="65">
          <cell r="E65">
            <v>4456644.72</v>
          </cell>
        </row>
        <row r="82">
          <cell r="E82">
            <v>988409.12999999989</v>
          </cell>
        </row>
        <row r="95">
          <cell r="E95">
            <v>1951145.62</v>
          </cell>
        </row>
        <row r="146">
          <cell r="E146">
            <v>4115969.44</v>
          </cell>
        </row>
        <row r="147">
          <cell r="E147">
            <v>3453263.2299999995</v>
          </cell>
        </row>
        <row r="148">
          <cell r="E148">
            <v>6160301.8223984009</v>
          </cell>
        </row>
        <row r="173">
          <cell r="E173">
            <v>1763547.68</v>
          </cell>
        </row>
        <row r="174">
          <cell r="E174">
            <v>1717844.6500000001</v>
          </cell>
        </row>
        <row r="176">
          <cell r="E176">
            <v>210038.39</v>
          </cell>
        </row>
        <row r="177">
          <cell r="E177">
            <v>795892.42</v>
          </cell>
        </row>
        <row r="178">
          <cell r="E178">
            <v>386024.11999999994</v>
          </cell>
        </row>
        <row r="179">
          <cell r="E179">
            <v>249128.41999999998</v>
          </cell>
        </row>
        <row r="200">
          <cell r="E200">
            <v>24444190.12958464</v>
          </cell>
        </row>
        <row r="201">
          <cell r="E201">
            <v>28649224.581331842</v>
          </cell>
        </row>
        <row r="202">
          <cell r="E202">
            <v>13149734.670000002</v>
          </cell>
        </row>
        <row r="203">
          <cell r="E203">
            <v>1558900.53</v>
          </cell>
        </row>
        <row r="206">
          <cell r="E206">
            <v>13129182.300000001</v>
          </cell>
        </row>
        <row r="207">
          <cell r="E207">
            <v>13342818.840000002</v>
          </cell>
        </row>
        <row r="232">
          <cell r="E232">
            <v>388845.05</v>
          </cell>
        </row>
        <row r="260">
          <cell r="E260">
            <v>1710275.1900000002</v>
          </cell>
        </row>
        <row r="261">
          <cell r="E261">
            <v>1817800.15</v>
          </cell>
        </row>
        <row r="272">
          <cell r="E272">
            <v>15693522.369999999</v>
          </cell>
        </row>
        <row r="283">
          <cell r="E283">
            <v>4357536.5899999989</v>
          </cell>
        </row>
        <row r="299">
          <cell r="E299">
            <v>8489544.8100000005</v>
          </cell>
        </row>
        <row r="305">
          <cell r="E305">
            <v>25768523.780000001</v>
          </cell>
        </row>
        <row r="307">
          <cell r="E307">
            <v>1958141.1600000001</v>
          </cell>
        </row>
        <row r="308">
          <cell r="E308">
            <v>4845389.3400000008</v>
          </cell>
        </row>
        <row r="309">
          <cell r="E309">
            <v>1316831.6000000001</v>
          </cell>
        </row>
        <row r="310">
          <cell r="E310">
            <v>1293441.4399999997</v>
          </cell>
        </row>
        <row r="311">
          <cell r="E311">
            <v>1144023.6399999999</v>
          </cell>
        </row>
        <row r="312">
          <cell r="E312">
            <v>1346505.7</v>
          </cell>
        </row>
        <row r="422">
          <cell r="E422">
            <v>18879882.600000001</v>
          </cell>
        </row>
        <row r="427">
          <cell r="E427">
            <v>25954540.125801601</v>
          </cell>
        </row>
        <row r="428">
          <cell r="E428">
            <v>25954540.125801601</v>
          </cell>
        </row>
        <row r="496">
          <cell r="E496">
            <v>5905280.4668094926</v>
          </cell>
        </row>
        <row r="503">
          <cell r="E503">
            <v>5420796.79</v>
          </cell>
        </row>
        <row r="504">
          <cell r="E504">
            <v>7155018.0199999986</v>
          </cell>
        </row>
        <row r="505">
          <cell r="E505">
            <v>9890859.6757152006</v>
          </cell>
        </row>
        <row r="515">
          <cell r="E515">
            <v>4653951.2214560006</v>
          </cell>
        </row>
        <row r="521">
          <cell r="E521">
            <v>8748520.7200000007</v>
          </cell>
        </row>
        <row r="522">
          <cell r="E522">
            <v>2671455.3646809598</v>
          </cell>
        </row>
        <row r="524">
          <cell r="E524">
            <v>21548160</v>
          </cell>
        </row>
        <row r="544">
          <cell r="E544">
            <v>823036.2906064</v>
          </cell>
        </row>
        <row r="545">
          <cell r="E545">
            <v>824533.25957439991</v>
          </cell>
        </row>
        <row r="546">
          <cell r="E546">
            <v>825132.05316160002</v>
          </cell>
        </row>
        <row r="552">
          <cell r="E552">
            <v>1885385.6</v>
          </cell>
        </row>
        <row r="553">
          <cell r="E553">
            <v>37259456.808583044</v>
          </cell>
        </row>
        <row r="567">
          <cell r="E567">
            <v>4044469.0700000003</v>
          </cell>
        </row>
        <row r="568">
          <cell r="E568">
            <v>4133129.53</v>
          </cell>
        </row>
        <row r="570">
          <cell r="E570">
            <v>51285715.170000009</v>
          </cell>
        </row>
        <row r="571">
          <cell r="E571">
            <v>13093601.539999999</v>
          </cell>
        </row>
        <row r="572">
          <cell r="E572">
            <v>11435898.430000002</v>
          </cell>
        </row>
        <row r="573">
          <cell r="E573">
            <v>14365440</v>
          </cell>
        </row>
        <row r="574">
          <cell r="E574">
            <v>17043287.539999999</v>
          </cell>
        </row>
        <row r="576">
          <cell r="E576">
            <v>45146536.223066881</v>
          </cell>
        </row>
        <row r="578">
          <cell r="E578">
            <v>15827615.0557984</v>
          </cell>
        </row>
        <row r="629">
          <cell r="E629">
            <v>61869436.07703615</v>
          </cell>
        </row>
        <row r="655">
          <cell r="E655">
            <v>5949784.1576571837</v>
          </cell>
        </row>
        <row r="659">
          <cell r="E659">
            <v>32126174.493678723</v>
          </cell>
        </row>
        <row r="660">
          <cell r="E660">
            <v>27484311.934204828</v>
          </cell>
        </row>
        <row r="662">
          <cell r="E662">
            <v>40764810.27565439</v>
          </cell>
        </row>
        <row r="664">
          <cell r="E664">
            <v>6722291.6544528576</v>
          </cell>
        </row>
        <row r="681">
          <cell r="E681">
            <v>11387630.482799999</v>
          </cell>
        </row>
        <row r="684">
          <cell r="E684">
            <v>14577538.167466559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>
        <row r="28">
          <cell r="Q28"/>
        </row>
        <row r="29">
          <cell r="Q29"/>
        </row>
        <row r="30">
          <cell r="Q30"/>
        </row>
        <row r="31">
          <cell r="Q31"/>
        </row>
        <row r="32">
          <cell r="Q32"/>
        </row>
        <row r="33">
          <cell r="Q33"/>
        </row>
        <row r="34">
          <cell r="Q34"/>
        </row>
        <row r="35">
          <cell r="Q35"/>
        </row>
        <row r="37">
          <cell r="Q37"/>
        </row>
        <row r="100">
          <cell r="P100">
            <v>474969.93999999994</v>
          </cell>
          <cell r="Q100"/>
        </row>
        <row r="149">
          <cell r="P149"/>
          <cell r="Q149"/>
        </row>
        <row r="209">
          <cell r="P209">
            <v>7389025.9417176796</v>
          </cell>
          <cell r="Q209">
            <v>0</v>
          </cell>
        </row>
        <row r="210">
          <cell r="P210">
            <v>5072123.3467405867</v>
          </cell>
          <cell r="Q210">
            <v>0</v>
          </cell>
        </row>
        <row r="211">
          <cell r="P211">
            <v>5182536.9001926761</v>
          </cell>
          <cell r="Q211">
            <v>0</v>
          </cell>
        </row>
        <row r="212">
          <cell r="P212">
            <v>5072123.3467405867</v>
          </cell>
          <cell r="Q212">
            <v>0</v>
          </cell>
        </row>
        <row r="213">
          <cell r="P213">
            <v>7782041.3511919565</v>
          </cell>
          <cell r="Q213">
            <v>0</v>
          </cell>
        </row>
        <row r="214">
          <cell r="P214">
            <v>478248.08737109351</v>
          </cell>
          <cell r="Q214">
            <v>0</v>
          </cell>
        </row>
        <row r="215">
          <cell r="P215">
            <v>1586711.6355164612</v>
          </cell>
          <cell r="Q215">
            <v>0</v>
          </cell>
        </row>
        <row r="217">
          <cell r="P217">
            <v>1586711.6355164612</v>
          </cell>
          <cell r="Q217">
            <v>0</v>
          </cell>
        </row>
        <row r="218">
          <cell r="P218">
            <v>1385807.9601764705</v>
          </cell>
          <cell r="Q218">
            <v>0</v>
          </cell>
        </row>
        <row r="220">
          <cell r="P220">
            <v>1428537.26925231</v>
          </cell>
          <cell r="Q220">
            <v>0</v>
          </cell>
        </row>
        <row r="222">
          <cell r="P222"/>
          <cell r="Q222"/>
        </row>
        <row r="224">
          <cell r="P224"/>
          <cell r="Q224"/>
        </row>
        <row r="225">
          <cell r="P225"/>
          <cell r="Q225"/>
        </row>
        <row r="227">
          <cell r="P227"/>
          <cell r="Q227"/>
        </row>
        <row r="228">
          <cell r="P228">
            <v>2375276.4681759998</v>
          </cell>
          <cell r="Q228"/>
        </row>
        <row r="229">
          <cell r="P229"/>
          <cell r="Q229"/>
        </row>
        <row r="230">
          <cell r="P230"/>
          <cell r="Q230"/>
        </row>
        <row r="231">
          <cell r="P231"/>
          <cell r="Q231"/>
        </row>
        <row r="232">
          <cell r="P232"/>
          <cell r="Q232"/>
        </row>
        <row r="233">
          <cell r="P233"/>
          <cell r="Q233"/>
        </row>
        <row r="234">
          <cell r="P234"/>
          <cell r="Q234"/>
        </row>
        <row r="235">
          <cell r="P235"/>
          <cell r="Q235"/>
        </row>
        <row r="236">
          <cell r="P236"/>
          <cell r="Q236"/>
        </row>
        <row r="237">
          <cell r="P237"/>
          <cell r="Q237"/>
        </row>
        <row r="238">
          <cell r="P238">
            <v>822035.24829823943</v>
          </cell>
          <cell r="Q238"/>
        </row>
        <row r="239">
          <cell r="P239">
            <v>822035.24829823943</v>
          </cell>
          <cell r="Q239"/>
        </row>
        <row r="240">
          <cell r="P240"/>
          <cell r="Q240"/>
        </row>
        <row r="241">
          <cell r="P241"/>
          <cell r="Q241"/>
        </row>
        <row r="242">
          <cell r="P242">
            <v>20372250.93</v>
          </cell>
          <cell r="Q242"/>
        </row>
        <row r="243">
          <cell r="P243"/>
          <cell r="Q243"/>
        </row>
        <row r="244">
          <cell r="P244">
            <v>10119409.619999997</v>
          </cell>
          <cell r="Q244"/>
        </row>
        <row r="245">
          <cell r="P245">
            <v>257830.72999999998</v>
          </cell>
          <cell r="Q245"/>
        </row>
        <row r="246">
          <cell r="P246"/>
          <cell r="Q246">
            <v>0</v>
          </cell>
        </row>
        <row r="247">
          <cell r="P247"/>
          <cell r="Q247"/>
        </row>
        <row r="248">
          <cell r="P248">
            <v>16600042.59</v>
          </cell>
          <cell r="Q248"/>
        </row>
        <row r="249">
          <cell r="P249">
            <v>2237553.186666667</v>
          </cell>
          <cell r="Q249"/>
        </row>
        <row r="250">
          <cell r="P250">
            <v>906857.51333330001</v>
          </cell>
          <cell r="Q250"/>
        </row>
        <row r="252">
          <cell r="P252"/>
          <cell r="Q252">
            <v>0</v>
          </cell>
        </row>
        <row r="253">
          <cell r="P253">
            <v>3772182.5490253926</v>
          </cell>
          <cell r="Q253"/>
        </row>
        <row r="254">
          <cell r="P254">
            <v>16600042.59</v>
          </cell>
          <cell r="Q254"/>
        </row>
        <row r="255">
          <cell r="P255">
            <v>2237553.186666667</v>
          </cell>
          <cell r="Q255"/>
        </row>
        <row r="256">
          <cell r="P256">
            <v>906857.51333330001</v>
          </cell>
          <cell r="Q256"/>
        </row>
        <row r="257">
          <cell r="P257"/>
          <cell r="Q257"/>
        </row>
        <row r="258">
          <cell r="P258"/>
          <cell r="Q258"/>
        </row>
        <row r="259">
          <cell r="P259">
            <v>3772182.5490253926</v>
          </cell>
          <cell r="Q259"/>
        </row>
        <row r="260">
          <cell r="P260"/>
          <cell r="Q260"/>
        </row>
        <row r="261">
          <cell r="P261">
            <v>9113158.8490190003</v>
          </cell>
          <cell r="Q261"/>
        </row>
        <row r="262">
          <cell r="P262"/>
          <cell r="Q262"/>
        </row>
        <row r="263">
          <cell r="P263"/>
          <cell r="Q263"/>
        </row>
        <row r="264">
          <cell r="P264"/>
          <cell r="Q264"/>
        </row>
        <row r="265">
          <cell r="P265"/>
          <cell r="Q265"/>
        </row>
        <row r="266">
          <cell r="P266">
            <v>2983667.61</v>
          </cell>
          <cell r="Q266"/>
        </row>
        <row r="267">
          <cell r="P267">
            <v>2760799.8602499994</v>
          </cell>
          <cell r="Q267"/>
        </row>
        <row r="268">
          <cell r="P268">
            <v>1020018.4912000014</v>
          </cell>
          <cell r="Q268"/>
        </row>
        <row r="269">
          <cell r="P269"/>
          <cell r="Q269"/>
        </row>
        <row r="270">
          <cell r="P270"/>
          <cell r="Q270"/>
        </row>
        <row r="271">
          <cell r="P271">
            <v>0</v>
          </cell>
          <cell r="Q271"/>
        </row>
        <row r="272">
          <cell r="P272"/>
          <cell r="Q272">
            <v>0</v>
          </cell>
        </row>
        <row r="273">
          <cell r="P273"/>
          <cell r="Q273">
            <v>0</v>
          </cell>
        </row>
        <row r="274">
          <cell r="P274">
            <v>2983667.61</v>
          </cell>
          <cell r="Q274"/>
        </row>
        <row r="275">
          <cell r="P275">
            <v>2143246.1167999995</v>
          </cell>
          <cell r="Q275"/>
        </row>
        <row r="276">
          <cell r="P276">
            <v>1511702.0514524882</v>
          </cell>
          <cell r="Q276"/>
        </row>
        <row r="277">
          <cell r="P277">
            <v>1020018.4912000014</v>
          </cell>
          <cell r="Q277"/>
        </row>
        <row r="278">
          <cell r="P278">
            <v>989123.26378000085</v>
          </cell>
          <cell r="Q278"/>
        </row>
        <row r="279">
          <cell r="P279">
            <v>5725470.5333099999</v>
          </cell>
          <cell r="Q279"/>
        </row>
        <row r="280">
          <cell r="P280">
            <v>4224796.0526083997</v>
          </cell>
          <cell r="Q280"/>
        </row>
        <row r="281">
          <cell r="P281"/>
          <cell r="Q281"/>
        </row>
        <row r="282">
          <cell r="P282">
            <v>3218407.5900000003</v>
          </cell>
          <cell r="Q282">
            <v>0</v>
          </cell>
        </row>
        <row r="283">
          <cell r="P283">
            <v>4346316.5754666664</v>
          </cell>
        </row>
        <row r="284">
          <cell r="P284">
            <v>4427463.1917000003</v>
          </cell>
        </row>
        <row r="285">
          <cell r="P285">
            <v>9237039.6128709596</v>
          </cell>
        </row>
        <row r="286">
          <cell r="P286">
            <v>1511702.0514524882</v>
          </cell>
        </row>
        <row r="287">
          <cell r="P287">
            <v>3751428.4528287994</v>
          </cell>
        </row>
        <row r="288">
          <cell r="P288">
            <v>15011639.890000001</v>
          </cell>
        </row>
        <row r="289">
          <cell r="P289">
            <v>-94317.518110000063</v>
          </cell>
        </row>
        <row r="290">
          <cell r="P290">
            <v>2008108.1622212788</v>
          </cell>
        </row>
        <row r="292">
          <cell r="P292">
            <v>2076617.8699999992</v>
          </cell>
        </row>
        <row r="293">
          <cell r="P293">
            <v>860590.1024692799</v>
          </cell>
          <cell r="Q293"/>
        </row>
        <row r="294">
          <cell r="P294">
            <v>3218407.5900000003</v>
          </cell>
          <cell r="Q294"/>
        </row>
        <row r="295">
          <cell r="P295">
            <v>10420005.460000001</v>
          </cell>
          <cell r="Q295"/>
        </row>
        <row r="296">
          <cell r="P296">
            <v>4346316.5754666664</v>
          </cell>
          <cell r="Q296"/>
        </row>
        <row r="297">
          <cell r="P297">
            <v>4427463.1917000003</v>
          </cell>
          <cell r="Q297"/>
        </row>
        <row r="298">
          <cell r="P298">
            <v>6968602.897110614</v>
          </cell>
          <cell r="Q298">
            <v>0</v>
          </cell>
        </row>
        <row r="299">
          <cell r="P299"/>
          <cell r="Q299"/>
        </row>
        <row r="300">
          <cell r="P300">
            <v>3369695.1058486667</v>
          </cell>
          <cell r="Q300"/>
        </row>
        <row r="301">
          <cell r="P301">
            <v>7697397.540000001</v>
          </cell>
          <cell r="Q301"/>
        </row>
        <row r="302">
          <cell r="P302"/>
          <cell r="Q302"/>
        </row>
        <row r="303">
          <cell r="P303">
            <v>2008108.1622212788</v>
          </cell>
          <cell r="Q303"/>
        </row>
        <row r="304">
          <cell r="P304"/>
          <cell r="Q304"/>
        </row>
        <row r="305">
          <cell r="P305">
            <v>5099328.6800000006</v>
          </cell>
          <cell r="Q305"/>
        </row>
        <row r="306">
          <cell r="P306">
            <v>5122468.8333333321</v>
          </cell>
          <cell r="Q306"/>
        </row>
        <row r="307">
          <cell r="P307">
            <v>8252506.3266666681</v>
          </cell>
          <cell r="Q307"/>
        </row>
        <row r="308">
          <cell r="P308"/>
          <cell r="Q308"/>
        </row>
        <row r="309">
          <cell r="P309">
            <v>10420005.460000001</v>
          </cell>
          <cell r="Q309"/>
        </row>
        <row r="310">
          <cell r="P310">
            <v>3679232.53</v>
          </cell>
          <cell r="Q310"/>
        </row>
        <row r="311">
          <cell r="P311">
            <v>2477837.44</v>
          </cell>
          <cell r="Q311"/>
        </row>
        <row r="312">
          <cell r="P312">
            <v>6968602.897110614</v>
          </cell>
          <cell r="Q312">
            <v>0</v>
          </cell>
        </row>
        <row r="313">
          <cell r="P313">
            <v>9266556.7940246668</v>
          </cell>
          <cell r="Q313"/>
        </row>
        <row r="314">
          <cell r="P314">
            <v>9563508.5829855986</v>
          </cell>
          <cell r="Q314">
            <v>0</v>
          </cell>
        </row>
        <row r="315">
          <cell r="P315"/>
          <cell r="Q315"/>
        </row>
        <row r="316">
          <cell r="P316"/>
          <cell r="Q316"/>
        </row>
        <row r="317">
          <cell r="P317">
            <v>2826319.835624001</v>
          </cell>
          <cell r="Q317"/>
        </row>
        <row r="318">
          <cell r="P318">
            <v>5099328.6800000006</v>
          </cell>
          <cell r="Q318"/>
        </row>
        <row r="319">
          <cell r="P319">
            <v>614563.23999999987</v>
          </cell>
          <cell r="Q319"/>
        </row>
        <row r="321">
          <cell r="P321">
            <v>0</v>
          </cell>
          <cell r="Q321"/>
        </row>
        <row r="322">
          <cell r="P322">
            <v>1780478.1500000004</v>
          </cell>
          <cell r="Q322">
            <v>0</v>
          </cell>
        </row>
        <row r="323">
          <cell r="P323">
            <v>3679232.53</v>
          </cell>
          <cell r="Q323"/>
        </row>
        <row r="324">
          <cell r="P324">
            <v>2477837.44</v>
          </cell>
          <cell r="Q324"/>
        </row>
        <row r="325">
          <cell r="P325">
            <v>9266556.7940246668</v>
          </cell>
          <cell r="Q325"/>
        </row>
        <row r="327">
          <cell r="P327">
            <v>17605158.597932905</v>
          </cell>
          <cell r="Q327">
            <v>0</v>
          </cell>
        </row>
        <row r="328">
          <cell r="P328">
            <v>17148929.116796475</v>
          </cell>
          <cell r="Q328">
            <v>0</v>
          </cell>
        </row>
        <row r="329">
          <cell r="P329">
            <v>3460456.0512120007</v>
          </cell>
          <cell r="Q329">
            <v>0</v>
          </cell>
        </row>
        <row r="330">
          <cell r="P330"/>
          <cell r="Q330"/>
        </row>
        <row r="331">
          <cell r="P331">
            <v>614563.23999999987</v>
          </cell>
          <cell r="Q331">
            <v>0</v>
          </cell>
        </row>
        <row r="332">
          <cell r="P332"/>
          <cell r="Q332">
            <v>0</v>
          </cell>
        </row>
        <row r="333">
          <cell r="P333">
            <v>2155250.5499999993</v>
          </cell>
          <cell r="Q333">
            <v>0</v>
          </cell>
        </row>
        <row r="334">
          <cell r="P334">
            <v>8083380.5966666685</v>
          </cell>
          <cell r="Q334">
            <v>0</v>
          </cell>
        </row>
        <row r="335">
          <cell r="P335"/>
          <cell r="Q335"/>
        </row>
        <row r="336">
          <cell r="P336">
            <v>705615.63750000019</v>
          </cell>
          <cell r="Q336"/>
        </row>
        <row r="337">
          <cell r="P337">
            <v>1932870.1700000009</v>
          </cell>
          <cell r="Q337"/>
        </row>
        <row r="338">
          <cell r="P338">
            <v>1491506.5999999996</v>
          </cell>
          <cell r="Q338">
            <v>0</v>
          </cell>
        </row>
        <row r="339">
          <cell r="P339">
            <v>2735629.5699999994</v>
          </cell>
          <cell r="Q339">
            <v>0</v>
          </cell>
        </row>
        <row r="340">
          <cell r="P340">
            <v>1136928.2899999998</v>
          </cell>
          <cell r="Q340">
            <v>0</v>
          </cell>
        </row>
        <row r="341">
          <cell r="P341">
            <v>2329938.9142360003</v>
          </cell>
          <cell r="Q341"/>
        </row>
        <row r="342">
          <cell r="P342"/>
          <cell r="Q342">
            <v>0</v>
          </cell>
        </row>
        <row r="343">
          <cell r="P343"/>
          <cell r="Q343">
            <v>0</v>
          </cell>
        </row>
        <row r="344">
          <cell r="P344">
            <v>2155250.5499999993</v>
          </cell>
          <cell r="Q344">
            <v>0</v>
          </cell>
        </row>
        <row r="345">
          <cell r="P345">
            <v>8083380.5966666685</v>
          </cell>
          <cell r="Q345"/>
        </row>
        <row r="346">
          <cell r="P346">
            <v>-13067801.45375926</v>
          </cell>
          <cell r="Q346"/>
        </row>
        <row r="347">
          <cell r="P347">
            <v>2967693.21</v>
          </cell>
          <cell r="Q347"/>
        </row>
        <row r="348">
          <cell r="P348">
            <v>3041730.66</v>
          </cell>
          <cell r="Q348"/>
        </row>
        <row r="349">
          <cell r="P349">
            <v>3841991.13</v>
          </cell>
          <cell r="Q349"/>
        </row>
        <row r="350">
          <cell r="P350">
            <v>1932870.1700000009</v>
          </cell>
          <cell r="Q350"/>
        </row>
        <row r="351">
          <cell r="P351">
            <v>1491506.5999999996</v>
          </cell>
          <cell r="Q351"/>
        </row>
        <row r="352">
          <cell r="P352">
            <v>-8321.410000000149</v>
          </cell>
          <cell r="Q352"/>
        </row>
        <row r="353">
          <cell r="P353">
            <v>1628827.3633333335</v>
          </cell>
          <cell r="Q353"/>
        </row>
        <row r="354">
          <cell r="P354">
            <v>1136928.2899999998</v>
          </cell>
          <cell r="Q354"/>
        </row>
        <row r="355">
          <cell r="P355">
            <v>3326870.9585851147</v>
          </cell>
          <cell r="Q355"/>
        </row>
        <row r="356">
          <cell r="P356"/>
          <cell r="Q356"/>
        </row>
        <row r="357">
          <cell r="P357">
            <v>1463463.5249940937</v>
          </cell>
          <cell r="Q357"/>
        </row>
        <row r="358">
          <cell r="P358">
            <v>2175839.7215601779</v>
          </cell>
          <cell r="Q358"/>
        </row>
        <row r="359">
          <cell r="P359"/>
          <cell r="Q359"/>
        </row>
        <row r="360">
          <cell r="P360"/>
          <cell r="Q360"/>
        </row>
        <row r="361">
          <cell r="P361"/>
          <cell r="Q361"/>
        </row>
        <row r="362">
          <cell r="P362"/>
          <cell r="Q362"/>
        </row>
        <row r="363">
          <cell r="P363"/>
          <cell r="Q363"/>
        </row>
        <row r="364">
          <cell r="P364">
            <v>707152.37000000011</v>
          </cell>
          <cell r="Q364"/>
        </row>
        <row r="365">
          <cell r="P365">
            <v>3116048.5975319995</v>
          </cell>
          <cell r="Q365"/>
        </row>
        <row r="366">
          <cell r="P366">
            <v>8256452.290922001</v>
          </cell>
          <cell r="Q366"/>
        </row>
        <row r="367">
          <cell r="P367"/>
          <cell r="Q367">
            <v>718272</v>
          </cell>
        </row>
        <row r="369">
          <cell r="P369"/>
          <cell r="Q369"/>
        </row>
        <row r="370">
          <cell r="P370"/>
          <cell r="Q370"/>
        </row>
        <row r="371">
          <cell r="P371"/>
          <cell r="Q371"/>
        </row>
        <row r="374">
          <cell r="P374">
            <v>1633456.4588733336</v>
          </cell>
          <cell r="Q374"/>
        </row>
        <row r="375">
          <cell r="P375">
            <v>2175839.7215601779</v>
          </cell>
          <cell r="Q375"/>
        </row>
        <row r="376">
          <cell r="P376">
            <v>20522777.230000004</v>
          </cell>
          <cell r="Q376"/>
        </row>
        <row r="378">
          <cell r="P378"/>
          <cell r="Q378"/>
        </row>
        <row r="386">
          <cell r="P386">
            <v>2814922.1966666668</v>
          </cell>
          <cell r="Q386"/>
        </row>
        <row r="387">
          <cell r="P387">
            <v>5180548.3166666673</v>
          </cell>
          <cell r="Q387">
            <v>0</v>
          </cell>
        </row>
        <row r="390">
          <cell r="Q390"/>
        </row>
        <row r="391">
          <cell r="Q391"/>
        </row>
        <row r="395">
          <cell r="P395">
            <v>1633456.4588733336</v>
          </cell>
          <cell r="Q395"/>
        </row>
        <row r="396">
          <cell r="P396"/>
          <cell r="Q396"/>
        </row>
        <row r="397">
          <cell r="P397">
            <v>3358599.8842666685</v>
          </cell>
          <cell r="Q397"/>
        </row>
        <row r="398">
          <cell r="P398">
            <v>3443225.4799953331</v>
          </cell>
          <cell r="Q398"/>
        </row>
        <row r="399">
          <cell r="P399"/>
          <cell r="Q399"/>
        </row>
        <row r="400">
          <cell r="P400"/>
          <cell r="Q400"/>
        </row>
        <row r="402">
          <cell r="P402"/>
          <cell r="Q402"/>
        </row>
        <row r="403">
          <cell r="P403"/>
          <cell r="Q403"/>
        </row>
        <row r="404">
          <cell r="P404"/>
          <cell r="Q404"/>
        </row>
        <row r="405">
          <cell r="P405"/>
          <cell r="Q405"/>
        </row>
        <row r="406">
          <cell r="P406">
            <v>11067050.84</v>
          </cell>
          <cell r="Q406"/>
        </row>
        <row r="407">
          <cell r="P407">
            <v>4675363.0278000021</v>
          </cell>
          <cell r="Q407"/>
        </row>
        <row r="408">
          <cell r="P408">
            <v>5180548.3166666673</v>
          </cell>
          <cell r="Q408"/>
        </row>
        <row r="409">
          <cell r="P409"/>
          <cell r="Q409"/>
        </row>
        <row r="411">
          <cell r="P411">
            <v>1384853.583333333</v>
          </cell>
          <cell r="Q411"/>
        </row>
        <row r="412">
          <cell r="P412">
            <v>1355261.3500000003</v>
          </cell>
          <cell r="Q412"/>
        </row>
        <row r="413">
          <cell r="P413"/>
          <cell r="Q413"/>
        </row>
        <row r="414">
          <cell r="P414">
            <v>0</v>
          </cell>
          <cell r="Q414"/>
        </row>
        <row r="415">
          <cell r="P415">
            <v>0</v>
          </cell>
          <cell r="Q415"/>
        </row>
        <row r="416">
          <cell r="P416">
            <v>7143822.512739202</v>
          </cell>
          <cell r="Q416"/>
        </row>
        <row r="417">
          <cell r="P417">
            <v>686514.50749999983</v>
          </cell>
          <cell r="Q417"/>
        </row>
        <row r="418">
          <cell r="P418">
            <v>3489956.9766666661</v>
          </cell>
          <cell r="Q418"/>
        </row>
        <row r="419">
          <cell r="P419">
            <v>6483712.7524907999</v>
          </cell>
          <cell r="Q419"/>
        </row>
        <row r="420">
          <cell r="P420">
            <v>10129603.428118331</v>
          </cell>
          <cell r="Q420"/>
        </row>
        <row r="421">
          <cell r="P421">
            <v>886090.96180000121</v>
          </cell>
          <cell r="Q421"/>
        </row>
        <row r="422">
          <cell r="P422">
            <v>930573.32250000024</v>
          </cell>
          <cell r="Q422"/>
        </row>
        <row r="423">
          <cell r="P423">
            <v>1398916.8396544</v>
          </cell>
          <cell r="Q423"/>
        </row>
        <row r="424">
          <cell r="P424">
            <v>2682675.2085677697</v>
          </cell>
          <cell r="Q424"/>
        </row>
        <row r="425">
          <cell r="P425">
            <v>2843838.4141774648</v>
          </cell>
          <cell r="Q425"/>
        </row>
        <row r="426">
          <cell r="P426">
            <v>331357.31247093313</v>
          </cell>
          <cell r="Q426"/>
        </row>
        <row r="427">
          <cell r="P427">
            <v>1386547.1137890664</v>
          </cell>
          <cell r="Q427"/>
        </row>
        <row r="428">
          <cell r="P428">
            <v>6571877.8117803605</v>
          </cell>
          <cell r="Q428"/>
        </row>
        <row r="429">
          <cell r="P429">
            <v>3797418.9970000004</v>
          </cell>
          <cell r="Q429"/>
        </row>
        <row r="430">
          <cell r="P430">
            <v>1276378.0712522666</v>
          </cell>
          <cell r="Q430"/>
        </row>
        <row r="431">
          <cell r="P431">
            <v>1104159.1966666665</v>
          </cell>
          <cell r="Q431"/>
        </row>
        <row r="432">
          <cell r="P432"/>
          <cell r="Q432"/>
        </row>
        <row r="433">
          <cell r="P433">
            <v>3312889.3466666671</v>
          </cell>
          <cell r="Q433"/>
        </row>
        <row r="434">
          <cell r="P434">
            <v>489303.72999999952</v>
          </cell>
          <cell r="Q434"/>
        </row>
        <row r="435">
          <cell r="P435"/>
          <cell r="Q435"/>
        </row>
        <row r="436">
          <cell r="P436">
            <v>3324827.2333333329</v>
          </cell>
          <cell r="Q436"/>
        </row>
        <row r="437">
          <cell r="P437">
            <v>5051149.9263384379</v>
          </cell>
          <cell r="Q437"/>
        </row>
        <row r="438">
          <cell r="P438">
            <v>6153125.9248689683</v>
          </cell>
          <cell r="Q438"/>
        </row>
        <row r="439">
          <cell r="P439">
            <v>0</v>
          </cell>
          <cell r="Q439"/>
        </row>
        <row r="440">
          <cell r="P440">
            <v>854862.32758393337</v>
          </cell>
          <cell r="Q440"/>
        </row>
        <row r="441">
          <cell r="P441">
            <v>2042518.3920666666</v>
          </cell>
          <cell r="Q441"/>
        </row>
        <row r="442">
          <cell r="P442">
            <v>572522.35835117346</v>
          </cell>
          <cell r="Q442"/>
        </row>
        <row r="443">
          <cell r="P443">
            <v>4932346.6957104206</v>
          </cell>
          <cell r="Q443"/>
        </row>
        <row r="444">
          <cell r="P444">
            <v>2036554.7715932464</v>
          </cell>
          <cell r="Q444"/>
        </row>
        <row r="445">
          <cell r="P445">
            <v>2190719.200666667</v>
          </cell>
          <cell r="Q445"/>
        </row>
        <row r="446">
          <cell r="P446">
            <v>4726214.1316666668</v>
          </cell>
          <cell r="Q446">
            <v>809042.81499999994</v>
          </cell>
        </row>
        <row r="447">
          <cell r="P447">
            <v>1550168.3224000398</v>
          </cell>
          <cell r="Q447">
            <v>210000</v>
          </cell>
        </row>
        <row r="448">
          <cell r="P448">
            <v>331357.31247093313</v>
          </cell>
          <cell r="Q448"/>
        </row>
        <row r="449">
          <cell r="P449">
            <v>1386547.1137890664</v>
          </cell>
          <cell r="Q449"/>
        </row>
        <row r="450">
          <cell r="P450">
            <v>3019218.0038803602</v>
          </cell>
          <cell r="Q450"/>
        </row>
        <row r="451">
          <cell r="P451">
            <v>3797418.9970000004</v>
          </cell>
          <cell r="Q451"/>
        </row>
        <row r="453">
          <cell r="P453">
            <v>1104159.1966666665</v>
          </cell>
          <cell r="Q453"/>
        </row>
        <row r="454">
          <cell r="P454"/>
          <cell r="Q454"/>
        </row>
        <row r="455">
          <cell r="P455">
            <v>2605661.0315339789</v>
          </cell>
          <cell r="Q455"/>
        </row>
        <row r="456">
          <cell r="P456">
            <v>0</v>
          </cell>
          <cell r="Q456"/>
        </row>
        <row r="457">
          <cell r="P457">
            <v>2067746.9300000002</v>
          </cell>
          <cell r="Q457"/>
        </row>
        <row r="459">
          <cell r="Q459">
            <v>0</v>
          </cell>
        </row>
        <row r="465">
          <cell r="P465">
            <v>3678482.7385679903</v>
          </cell>
          <cell r="Q465">
            <v>0</v>
          </cell>
        </row>
        <row r="466">
          <cell r="P466">
            <v>3283800.1961900308</v>
          </cell>
          <cell r="Q466">
            <v>0</v>
          </cell>
        </row>
        <row r="467">
          <cell r="P467">
            <v>2740842.16343422</v>
          </cell>
        </row>
        <row r="468">
          <cell r="P468">
            <v>3299198.8272420606</v>
          </cell>
        </row>
        <row r="469">
          <cell r="P469">
            <v>1728310.2671391205</v>
          </cell>
        </row>
        <row r="470">
          <cell r="P470">
            <v>3325117.073269573</v>
          </cell>
        </row>
        <row r="473">
          <cell r="P473">
            <v>3488737.6475839727</v>
          </cell>
        </row>
        <row r="478">
          <cell r="P478">
            <v>453049.84037679993</v>
          </cell>
        </row>
        <row r="479">
          <cell r="P479">
            <v>3571794.2067385912</v>
          </cell>
        </row>
        <row r="483">
          <cell r="P483">
            <v>749476.04747032025</v>
          </cell>
        </row>
        <row r="486">
          <cell r="P486">
            <v>0</v>
          </cell>
        </row>
        <row r="487">
          <cell r="P487">
            <v>3288504.7317224042</v>
          </cell>
        </row>
        <row r="488">
          <cell r="P488">
            <v>7716317.4366000015</v>
          </cell>
        </row>
        <row r="489">
          <cell r="P489">
            <v>6843315.0602000002</v>
          </cell>
        </row>
        <row r="491">
          <cell r="P491">
            <v>2733720.5987020801</v>
          </cell>
        </row>
        <row r="496">
          <cell r="P496">
            <v>1140762.2226702368</v>
          </cell>
        </row>
        <row r="497">
          <cell r="P497">
            <v>3090162.8634445257</v>
          </cell>
        </row>
        <row r="499">
          <cell r="P499">
            <v>1268562.6795129601</v>
          </cell>
        </row>
        <row r="500">
          <cell r="P500">
            <v>1908022.4918</v>
          </cell>
        </row>
        <row r="504">
          <cell r="P504">
            <v>1188980.4111846876</v>
          </cell>
        </row>
        <row r="507">
          <cell r="P507">
            <v>687023.047624161</v>
          </cell>
        </row>
        <row r="508">
          <cell r="P508">
            <v>5162464.244825148</v>
          </cell>
        </row>
        <row r="511">
          <cell r="P511">
            <v>534822.96800000034</v>
          </cell>
        </row>
        <row r="512">
          <cell r="P512">
            <v>3288801.0671485327</v>
          </cell>
        </row>
        <row r="514">
          <cell r="P514">
            <v>1063992.5620395201</v>
          </cell>
        </row>
        <row r="516">
          <cell r="P516">
            <v>0</v>
          </cell>
        </row>
        <row r="517">
          <cell r="P517">
            <v>2937535.5499065467</v>
          </cell>
        </row>
        <row r="519">
          <cell r="P519">
            <v>5155802.1643344508</v>
          </cell>
        </row>
        <row r="521">
          <cell r="P521">
            <v>2102054.094579109</v>
          </cell>
        </row>
        <row r="523">
          <cell r="P523">
            <v>1002935.5173789167</v>
          </cell>
        </row>
        <row r="525">
          <cell r="P525">
            <v>1714925.7675000001</v>
          </cell>
        </row>
        <row r="527">
          <cell r="P527">
            <v>3254083.8187434226</v>
          </cell>
        </row>
        <row r="528">
          <cell r="P528">
            <v>3538238.8867999995</v>
          </cell>
          <cell r="Q528">
            <v>0</v>
          </cell>
        </row>
        <row r="530">
          <cell r="P530">
            <v>2200544.6488000001</v>
          </cell>
        </row>
        <row r="531">
          <cell r="P531">
            <v>4650735.0838000001</v>
          </cell>
          <cell r="Q531">
            <v>0</v>
          </cell>
        </row>
        <row r="537">
          <cell r="P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P541">
            <v>127594.26226869</v>
          </cell>
        </row>
        <row r="542">
          <cell r="P542">
            <v>3200622.2373585771</v>
          </cell>
        </row>
        <row r="543">
          <cell r="P543">
            <v>566089.32750000013</v>
          </cell>
        </row>
        <row r="545">
          <cell r="P545">
            <v>3038566.1072513652</v>
          </cell>
        </row>
        <row r="550">
          <cell r="P550">
            <v>2512560.0679270476</v>
          </cell>
          <cell r="Q550">
            <v>0</v>
          </cell>
        </row>
        <row r="553">
          <cell r="P553">
            <v>6350229.8080000002</v>
          </cell>
        </row>
        <row r="554">
          <cell r="P554">
            <v>3677895.9417703999</v>
          </cell>
        </row>
        <row r="555">
          <cell r="P555">
            <v>0</v>
          </cell>
        </row>
        <row r="556">
          <cell r="P556">
            <v>8517894.7578108646</v>
          </cell>
          <cell r="Q556">
            <v>0</v>
          </cell>
        </row>
        <row r="557">
          <cell r="P557">
            <v>4581465.5337166088</v>
          </cell>
          <cell r="Q557">
            <v>0</v>
          </cell>
        </row>
        <row r="558">
          <cell r="P558">
            <v>1511702.0514524882</v>
          </cell>
        </row>
        <row r="559">
          <cell r="P559">
            <v>3119886.4825000009</v>
          </cell>
          <cell r="Q559">
            <v>0</v>
          </cell>
        </row>
        <row r="560">
          <cell r="P560">
            <v>1145305.2433538393</v>
          </cell>
        </row>
        <row r="561">
          <cell r="P561">
            <v>1067670.11489175</v>
          </cell>
        </row>
        <row r="562">
          <cell r="P562">
            <v>2077670.4749999989</v>
          </cell>
        </row>
        <row r="564">
          <cell r="P564">
            <v>4305404.6954799788</v>
          </cell>
        </row>
        <row r="566">
          <cell r="P566">
            <v>1952415.092709831</v>
          </cell>
        </row>
        <row r="568">
          <cell r="P568">
            <v>1226851.3124999998</v>
          </cell>
        </row>
        <row r="579">
          <cell r="Q579">
            <v>0</v>
          </cell>
        </row>
        <row r="580">
          <cell r="Q580">
            <v>0</v>
          </cell>
        </row>
        <row r="581">
          <cell r="Q581">
            <v>0</v>
          </cell>
        </row>
        <row r="584">
          <cell r="P584">
            <v>4171397.8607790703</v>
          </cell>
        </row>
        <row r="585">
          <cell r="P585">
            <v>1272584.8299999998</v>
          </cell>
        </row>
        <row r="586">
          <cell r="P586">
            <v>2747451.5274999994</v>
          </cell>
        </row>
        <row r="587">
          <cell r="P587">
            <v>7237936.3654399998</v>
          </cell>
          <cell r="Q587">
            <v>0</v>
          </cell>
        </row>
        <row r="588">
          <cell r="Q588">
            <v>0</v>
          </cell>
        </row>
        <row r="589">
          <cell r="P589">
            <v>9934187.5640000012</v>
          </cell>
        </row>
        <row r="592">
          <cell r="P592">
            <v>4053855.5148114995</v>
          </cell>
        </row>
        <row r="594">
          <cell r="P594">
            <v>3352595.9358166102</v>
          </cell>
        </row>
        <row r="602">
          <cell r="Q602">
            <v>0</v>
          </cell>
        </row>
        <row r="603">
          <cell r="P603">
            <v>3904301.1978000002</v>
          </cell>
          <cell r="Q603">
            <v>0</v>
          </cell>
        </row>
        <row r="605">
          <cell r="P605">
            <v>3590029.1775467205</v>
          </cell>
          <cell r="Q605">
            <v>0</v>
          </cell>
        </row>
        <row r="606">
          <cell r="P606">
            <v>11125815.399917353</v>
          </cell>
          <cell r="Q606">
            <v>0</v>
          </cell>
        </row>
        <row r="607">
          <cell r="Q607">
            <v>0</v>
          </cell>
        </row>
        <row r="608">
          <cell r="P608">
            <v>4540950.7992002573</v>
          </cell>
          <cell r="Q608">
            <v>0</v>
          </cell>
        </row>
        <row r="609">
          <cell r="P609">
            <v>8914366.6864420418</v>
          </cell>
          <cell r="Q609">
            <v>0</v>
          </cell>
        </row>
        <row r="611">
          <cell r="P611">
            <v>6666221.4034400824</v>
          </cell>
          <cell r="Q611">
            <v>0</v>
          </cell>
        </row>
        <row r="613">
          <cell r="P613">
            <v>4793742.1716</v>
          </cell>
        </row>
        <row r="615">
          <cell r="P615">
            <v>3855238.9237903948</v>
          </cell>
        </row>
        <row r="616">
          <cell r="P616">
            <v>4253791.2577114999</v>
          </cell>
        </row>
        <row r="617">
          <cell r="P617">
            <v>4373889.0319999987</v>
          </cell>
        </row>
        <row r="618">
          <cell r="P618">
            <v>5150859.8834408009</v>
          </cell>
        </row>
        <row r="620">
          <cell r="P620">
            <v>9745896.1752586551</v>
          </cell>
        </row>
        <row r="621">
          <cell r="P621">
            <v>4263457.8798470004</v>
          </cell>
        </row>
        <row r="622">
          <cell r="P622">
            <v>590238.2375000004</v>
          </cell>
        </row>
        <row r="623">
          <cell r="P623">
            <v>549981.94500000007</v>
          </cell>
        </row>
        <row r="624">
          <cell r="P624">
            <v>0</v>
          </cell>
        </row>
        <row r="626">
          <cell r="P626">
            <v>503219.86890000058</v>
          </cell>
        </row>
        <row r="627">
          <cell r="P627">
            <v>299229.82999999996</v>
          </cell>
        </row>
        <row r="628">
          <cell r="P628">
            <v>508425.41750000021</v>
          </cell>
        </row>
        <row r="634">
          <cell r="P634">
            <v>353690.84750000015</v>
          </cell>
        </row>
        <row r="639">
          <cell r="P639">
            <v>1280621.8600000008</v>
          </cell>
        </row>
        <row r="643">
          <cell r="P643">
            <v>666884.95870000031</v>
          </cell>
        </row>
        <row r="644">
          <cell r="P644">
            <v>1321634.5791319686</v>
          </cell>
        </row>
        <row r="645">
          <cell r="P645">
            <v>1920678.6675</v>
          </cell>
        </row>
        <row r="646">
          <cell r="P646">
            <v>1460525.3899999997</v>
          </cell>
        </row>
        <row r="647">
          <cell r="P647">
            <v>6467982.027999999</v>
          </cell>
        </row>
        <row r="648">
          <cell r="P648">
            <v>6526236.7062411997</v>
          </cell>
        </row>
        <row r="649">
          <cell r="P649">
            <v>4845301.1875000009</v>
          </cell>
        </row>
        <row r="650">
          <cell r="P650">
            <v>6554730.6119999988</v>
          </cell>
        </row>
        <row r="651">
          <cell r="P651">
            <v>1342375.9173957503</v>
          </cell>
        </row>
        <row r="652">
          <cell r="P652">
            <v>2546073</v>
          </cell>
        </row>
        <row r="653">
          <cell r="P653">
            <v>3168000.6575000002</v>
          </cell>
        </row>
        <row r="654">
          <cell r="P654">
            <v>3371309.4466504906</v>
          </cell>
        </row>
        <row r="655">
          <cell r="P655">
            <v>6983424.6841790471</v>
          </cell>
        </row>
        <row r="656">
          <cell r="P656">
            <v>7052461.9983708654</v>
          </cell>
        </row>
        <row r="657">
          <cell r="P657">
            <v>3961606.8484471501</v>
          </cell>
        </row>
        <row r="658">
          <cell r="P658">
            <v>6585721.5913083674</v>
          </cell>
        </row>
        <row r="659">
          <cell r="P659">
            <v>3367479.3183452347</v>
          </cell>
        </row>
        <row r="660">
          <cell r="P660">
            <v>2833048.3496888997</v>
          </cell>
        </row>
        <row r="661">
          <cell r="P661">
            <v>1384418.6154499999</v>
          </cell>
        </row>
        <row r="663">
          <cell r="P663">
            <v>0</v>
          </cell>
          <cell r="Q663">
            <v>0</v>
          </cell>
        </row>
        <row r="664">
          <cell r="P664">
            <v>20048286.631156877</v>
          </cell>
        </row>
        <row r="666">
          <cell r="P666">
            <v>3007275.9718176005</v>
          </cell>
        </row>
        <row r="667">
          <cell r="P667">
            <v>5009763.3724291995</v>
          </cell>
        </row>
        <row r="668">
          <cell r="P668">
            <v>1919629.1910700002</v>
          </cell>
        </row>
        <row r="669">
          <cell r="P669">
            <v>1452195.0248139997</v>
          </cell>
        </row>
        <row r="672">
          <cell r="P672">
            <v>2077460.7349500002</v>
          </cell>
        </row>
        <row r="673">
          <cell r="P673">
            <v>0</v>
          </cell>
        </row>
        <row r="674">
          <cell r="P674">
            <v>1497757.0491000004</v>
          </cell>
        </row>
        <row r="675">
          <cell r="P675">
            <v>417931.19377368968</v>
          </cell>
        </row>
        <row r="676">
          <cell r="P676">
            <v>182520.66723549983</v>
          </cell>
        </row>
        <row r="677">
          <cell r="P677">
            <v>1025873.1100000001</v>
          </cell>
        </row>
        <row r="678">
          <cell r="P678">
            <v>1025712.6925</v>
          </cell>
        </row>
        <row r="680">
          <cell r="P680">
            <v>1032644.9850015</v>
          </cell>
        </row>
        <row r="681">
          <cell r="P681">
            <v>1051075.2086485</v>
          </cell>
        </row>
        <row r="682">
          <cell r="P682">
            <v>981537.54032600031</v>
          </cell>
        </row>
        <row r="684">
          <cell r="P684">
            <v>4959238.5646800017</v>
          </cell>
        </row>
        <row r="689">
          <cell r="Q689">
            <v>0</v>
          </cell>
        </row>
        <row r="691">
          <cell r="P691">
            <v>1931757.0175000001</v>
          </cell>
        </row>
        <row r="692">
          <cell r="P692">
            <v>1004622.6900000002</v>
          </cell>
        </row>
        <row r="693">
          <cell r="P693">
            <v>1061810.4948814395</v>
          </cell>
          <cell r="Q693">
            <v>0</v>
          </cell>
        </row>
        <row r="694">
          <cell r="P694">
            <v>1455759.210889759</v>
          </cell>
          <cell r="Q694">
            <v>0</v>
          </cell>
        </row>
        <row r="695">
          <cell r="P695">
            <v>3458722.2639504001</v>
          </cell>
          <cell r="Q695">
            <v>0</v>
          </cell>
        </row>
        <row r="696">
          <cell r="P696">
            <v>4241300.1245600004</v>
          </cell>
          <cell r="Q696">
            <v>0</v>
          </cell>
        </row>
        <row r="698">
          <cell r="P698">
            <v>4716196.3342839032</v>
          </cell>
          <cell r="Q698">
            <v>0</v>
          </cell>
        </row>
        <row r="701">
          <cell r="P701">
            <v>992724.08210077998</v>
          </cell>
        </row>
        <row r="702">
          <cell r="P702">
            <v>81633.803878679973</v>
          </cell>
        </row>
        <row r="703">
          <cell r="P703">
            <v>1647930.1753248754</v>
          </cell>
        </row>
        <row r="704">
          <cell r="P704">
            <v>1036056.2405274999</v>
          </cell>
        </row>
        <row r="705">
          <cell r="P705">
            <v>666824.07274607487</v>
          </cell>
        </row>
        <row r="714">
          <cell r="P714">
            <v>1751097.6945964801</v>
          </cell>
        </row>
        <row r="715">
          <cell r="Q715">
            <v>0</v>
          </cell>
        </row>
        <row r="716">
          <cell r="P716">
            <v>1760352.89</v>
          </cell>
        </row>
        <row r="718">
          <cell r="P718">
            <v>3867495.7968583526</v>
          </cell>
          <cell r="Q718">
            <v>0</v>
          </cell>
        </row>
        <row r="719">
          <cell r="P719">
            <v>3397803.4296157993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>
        <row r="152">
          <cell r="I152">
            <v>4809786.58</v>
          </cell>
        </row>
        <row r="189">
          <cell r="I189">
            <v>1184931.19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1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>
        <row r="70">
          <cell r="N70">
            <v>4592465.8816174399</v>
          </cell>
          <cell r="P70"/>
          <cell r="Q70"/>
          <cell r="R70">
            <v>761274.89161743969</v>
          </cell>
          <cell r="S70">
            <v>3831190.99</v>
          </cell>
        </row>
        <row r="350">
          <cell r="R350">
            <v>715787.88</v>
          </cell>
          <cell r="S350">
            <v>3319460.8316984079</v>
          </cell>
        </row>
        <row r="364">
          <cell r="R364">
            <v>530132.51</v>
          </cell>
          <cell r="S364">
            <v>0</v>
          </cell>
        </row>
        <row r="365">
          <cell r="R365">
            <v>706857.29</v>
          </cell>
          <cell r="S365">
            <v>758694.68244965025</v>
          </cell>
        </row>
        <row r="366">
          <cell r="R366">
            <v>356038.84078929177</v>
          </cell>
          <cell r="S366">
            <v>3086914.8996206718</v>
          </cell>
        </row>
      </sheetData>
      <sheetData sheetId="1">
        <row r="70">
          <cell r="E70">
            <v>4592465.8816174399</v>
          </cell>
        </row>
        <row r="350">
          <cell r="E350">
            <v>4035248.7116984078</v>
          </cell>
        </row>
        <row r="364">
          <cell r="E364">
            <v>530132.51</v>
          </cell>
        </row>
        <row r="365">
          <cell r="E365">
            <v>1465551.9724496503</v>
          </cell>
        </row>
        <row r="366">
          <cell r="E366">
            <v>3442953.7404099633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 refreshError="1"/>
      <sheetData sheetId="1">
        <row r="359">
          <cell r="E359">
            <v>16781782.57</v>
          </cell>
        </row>
      </sheetData>
      <sheetData sheetId="2">
        <row r="359">
          <cell r="E359">
            <v>601192.01953599998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804"/>
  <sheetViews>
    <sheetView showZeros="0" tabSelected="1" view="pageBreakPreview" zoomScale="90" zoomScaleNormal="85" zoomScaleSheetLayoutView="90" workbookViewId="0">
      <pane xSplit="4" ySplit="12" topLeftCell="Q13" activePane="bottomRight" state="frozen"/>
      <selection pane="topRight" activeCell="E1" sqref="E1"/>
      <selection pane="bottomLeft" activeCell="A13" sqref="A13"/>
      <selection pane="bottomRight" activeCell="D4" sqref="D4"/>
    </sheetView>
  </sheetViews>
  <sheetFormatPr defaultColWidth="9.140625" defaultRowHeight="15" x14ac:dyDescent="0.25"/>
  <cols>
    <col min="1" max="1" width="8.140625" style="23" customWidth="1"/>
    <col min="2" max="2" width="9" style="23" customWidth="1"/>
    <col min="3" max="3" width="41.85546875" style="23" customWidth="1"/>
    <col min="4" max="4" width="82.5703125" style="23" customWidth="1"/>
    <col min="5" max="5" width="10.7109375" style="29" customWidth="1"/>
    <col min="6" max="6" width="12.7109375" style="29" customWidth="1"/>
    <col min="7" max="7" width="22.42578125" style="29" customWidth="1"/>
    <col min="8" max="8" width="9" style="29" customWidth="1"/>
    <col min="9" max="9" width="8.7109375" style="29" customWidth="1"/>
    <col min="10" max="10" width="14" style="23" customWidth="1"/>
    <col min="11" max="11" width="17.140625" style="23" customWidth="1"/>
    <col min="12" max="12" width="13.42578125" style="23" customWidth="1"/>
    <col min="13" max="13" width="12.7109375" style="23" customWidth="1"/>
    <col min="14" max="14" width="21" style="23" customWidth="1"/>
    <col min="15" max="15" width="17" style="23" customWidth="1"/>
    <col min="16" max="16" width="20" style="23" customWidth="1"/>
    <col min="17" max="18" width="17.85546875" style="23" customWidth="1"/>
    <col min="19" max="19" width="22.28515625" style="23" customWidth="1"/>
    <col min="20" max="20" width="19" style="23" customWidth="1"/>
    <col min="21" max="22" width="17.140625" style="23" customWidth="1"/>
    <col min="23" max="23" width="17.140625" style="29" customWidth="1"/>
    <col min="24" max="24" width="16.28515625" style="23" hidden="1" customWidth="1"/>
    <col min="25" max="25" width="9.140625" style="23" hidden="1" customWidth="1"/>
    <col min="26" max="41" width="16.85546875" style="23" hidden="1" customWidth="1"/>
    <col min="42" max="42" width="25.42578125" style="23" hidden="1" customWidth="1"/>
    <col min="43" max="43" width="16" style="23" hidden="1" customWidth="1"/>
    <col min="44" max="44" width="13.85546875" style="25" hidden="1" customWidth="1"/>
    <col min="45" max="45" width="17.28515625" style="25" hidden="1" customWidth="1"/>
    <col min="46" max="46" width="18.140625" style="23" hidden="1" customWidth="1"/>
    <col min="47" max="47" width="17.7109375" style="23" hidden="1" customWidth="1"/>
    <col min="48" max="48" width="12.42578125" style="23" hidden="1" customWidth="1"/>
    <col min="49" max="64" width="20.7109375" style="23" hidden="1" customWidth="1"/>
    <col min="65" max="65" width="15.28515625" style="23" customWidth="1"/>
    <col min="66" max="16384" width="9.140625" style="23"/>
  </cols>
  <sheetData>
    <row r="1" spans="1:64" ht="15.75" x14ac:dyDescent="0.25">
      <c r="W1" s="47" t="s">
        <v>0</v>
      </c>
    </row>
    <row r="2" spans="1:64" ht="15.75" x14ac:dyDescent="0.25">
      <c r="N2" s="25"/>
      <c r="W2" s="47" t="s">
        <v>588</v>
      </c>
    </row>
    <row r="3" spans="1:64" ht="15.75" x14ac:dyDescent="0.25">
      <c r="N3" s="25"/>
      <c r="W3" s="47" t="s">
        <v>1192</v>
      </c>
    </row>
    <row r="5" spans="1:64" x14ac:dyDescent="0.25">
      <c r="AP5" s="25">
        <f>P14-P29-P33-P41-P43-P54</f>
        <v>465045994.46738726</v>
      </c>
      <c r="AQ5" s="25">
        <f>AP5+'Приложение №3'!P17</f>
        <v>466156833.63738728</v>
      </c>
    </row>
    <row r="6" spans="1:64" ht="20.25" x14ac:dyDescent="0.25">
      <c r="A6" s="190" t="s">
        <v>141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AP6" s="24">
        <f>AP10-P29-P33-P41-P43-P54</f>
        <v>457870517.62646502</v>
      </c>
    </row>
    <row r="7" spans="1:64" ht="16.5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6"/>
      <c r="P7" s="27"/>
      <c r="Q7" s="26"/>
      <c r="R7" s="26"/>
      <c r="S7" s="26"/>
      <c r="T7" s="26"/>
      <c r="U7" s="26"/>
      <c r="V7" s="26"/>
      <c r="W7" s="26"/>
      <c r="AP7" s="24">
        <f>AP8+'Приложение №3'!P17</f>
        <v>466156833.63738722</v>
      </c>
    </row>
    <row r="8" spans="1:64" x14ac:dyDescent="0.25">
      <c r="A8" s="28"/>
      <c r="B8" s="28"/>
      <c r="C8" s="28"/>
      <c r="D8" s="28"/>
      <c r="I8" s="30"/>
      <c r="J8" s="31"/>
      <c r="K8" s="31"/>
      <c r="L8" s="31"/>
      <c r="M8" s="32"/>
      <c r="N8" s="33"/>
      <c r="O8" s="33"/>
      <c r="P8" s="33"/>
      <c r="Q8" s="33"/>
      <c r="R8" s="33"/>
      <c r="S8" s="33"/>
      <c r="T8" s="33"/>
      <c r="U8" s="34"/>
      <c r="V8" s="34"/>
      <c r="AP8" s="24">
        <f>P14-AP9</f>
        <v>465045994.4673872</v>
      </c>
    </row>
    <row r="9" spans="1:64" s="35" customFormat="1" ht="14.25" customHeight="1" x14ac:dyDescent="0.25">
      <c r="A9" s="191" t="s">
        <v>1</v>
      </c>
      <c r="B9" s="191" t="s">
        <v>1</v>
      </c>
      <c r="C9" s="188" t="s">
        <v>2</v>
      </c>
      <c r="D9" s="188" t="s">
        <v>3</v>
      </c>
      <c r="E9" s="193" t="s">
        <v>4</v>
      </c>
      <c r="F9" s="194"/>
      <c r="G9" s="188" t="s">
        <v>5</v>
      </c>
      <c r="H9" s="188" t="s">
        <v>6</v>
      </c>
      <c r="I9" s="195" t="s">
        <v>7</v>
      </c>
      <c r="J9" s="197" t="s">
        <v>8</v>
      </c>
      <c r="K9" s="200" t="s">
        <v>9</v>
      </c>
      <c r="L9" s="201"/>
      <c r="M9" s="195" t="s">
        <v>10</v>
      </c>
      <c r="N9" s="187" t="s">
        <v>11</v>
      </c>
      <c r="O9" s="187"/>
      <c r="P9" s="187"/>
      <c r="Q9" s="187"/>
      <c r="R9" s="187"/>
      <c r="S9" s="187"/>
      <c r="T9" s="187"/>
      <c r="U9" s="184" t="s">
        <v>12</v>
      </c>
      <c r="V9" s="184" t="s">
        <v>13</v>
      </c>
      <c r="W9" s="188" t="s">
        <v>14</v>
      </c>
      <c r="X9" s="35">
        <v>540274945.17642701</v>
      </c>
      <c r="Z9" s="184" t="s">
        <v>15</v>
      </c>
      <c r="AA9" s="187" t="s">
        <v>78</v>
      </c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36">
        <f>P29+P33+P41+P43+P54</f>
        <v>82404427.549962014</v>
      </c>
      <c r="AR9" s="37"/>
      <c r="AS9" s="37"/>
      <c r="AW9" s="184" t="s">
        <v>15</v>
      </c>
      <c r="AX9" s="187" t="s">
        <v>613</v>
      </c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</row>
    <row r="10" spans="1:64" s="35" customFormat="1" ht="14.25" x14ac:dyDescent="0.25">
      <c r="A10" s="192"/>
      <c r="B10" s="192"/>
      <c r="C10" s="189"/>
      <c r="D10" s="189"/>
      <c r="E10" s="188" t="s">
        <v>16</v>
      </c>
      <c r="F10" s="188" t="s">
        <v>1188</v>
      </c>
      <c r="G10" s="189"/>
      <c r="H10" s="189"/>
      <c r="I10" s="196"/>
      <c r="J10" s="198"/>
      <c r="K10" s="197" t="s">
        <v>18</v>
      </c>
      <c r="L10" s="197" t="s">
        <v>19</v>
      </c>
      <c r="M10" s="196"/>
      <c r="N10" s="185" t="s">
        <v>20</v>
      </c>
      <c r="O10" s="203" t="s">
        <v>21</v>
      </c>
      <c r="P10" s="204"/>
      <c r="Q10" s="204"/>
      <c r="R10" s="204"/>
      <c r="S10" s="204"/>
      <c r="T10" s="205"/>
      <c r="U10" s="185"/>
      <c r="V10" s="185"/>
      <c r="W10" s="189"/>
      <c r="X10" s="37">
        <f>P14-X9</f>
        <v>7175476.8409222364</v>
      </c>
      <c r="Z10" s="185"/>
      <c r="AA10" s="187" t="s">
        <v>22</v>
      </c>
      <c r="AB10" s="187"/>
      <c r="AC10" s="187"/>
      <c r="AD10" s="187"/>
      <c r="AE10" s="187"/>
      <c r="AF10" s="187"/>
      <c r="AG10" s="187"/>
      <c r="AH10" s="187" t="s">
        <v>81</v>
      </c>
      <c r="AI10" s="187" t="s">
        <v>24</v>
      </c>
      <c r="AJ10" s="187" t="s">
        <v>25</v>
      </c>
      <c r="AK10" s="187" t="s">
        <v>26</v>
      </c>
      <c r="AL10" s="187" t="s">
        <v>27</v>
      </c>
      <c r="AM10" s="187" t="s">
        <v>76</v>
      </c>
      <c r="AN10" s="187" t="s">
        <v>77</v>
      </c>
      <c r="AO10" s="187" t="s">
        <v>89</v>
      </c>
      <c r="AP10" s="35">
        <v>540274945.17642701</v>
      </c>
      <c r="AR10" s="37"/>
      <c r="AS10" s="37"/>
      <c r="AW10" s="185"/>
      <c r="AX10" s="187" t="s">
        <v>22</v>
      </c>
      <c r="AY10" s="187"/>
      <c r="AZ10" s="187"/>
      <c r="BA10" s="187"/>
      <c r="BB10" s="187"/>
      <c r="BC10" s="187"/>
      <c r="BD10" s="187"/>
      <c r="BE10" s="187" t="s">
        <v>81</v>
      </c>
      <c r="BF10" s="187" t="s">
        <v>24</v>
      </c>
      <c r="BG10" s="187" t="s">
        <v>25</v>
      </c>
      <c r="BH10" s="187" t="s">
        <v>477</v>
      </c>
      <c r="BI10" s="187" t="s">
        <v>27</v>
      </c>
      <c r="BJ10" s="187" t="s">
        <v>614</v>
      </c>
      <c r="BK10" s="187" t="s">
        <v>77</v>
      </c>
      <c r="BL10" s="187" t="s">
        <v>89</v>
      </c>
    </row>
    <row r="11" spans="1:64" s="35" customFormat="1" ht="78.75" customHeight="1" x14ac:dyDescent="0.25">
      <c r="A11" s="192"/>
      <c r="B11" s="192"/>
      <c r="C11" s="189"/>
      <c r="D11" s="189"/>
      <c r="E11" s="189"/>
      <c r="F11" s="189"/>
      <c r="G11" s="189"/>
      <c r="H11" s="189"/>
      <c r="I11" s="196"/>
      <c r="J11" s="199"/>
      <c r="K11" s="199"/>
      <c r="L11" s="199"/>
      <c r="M11" s="202"/>
      <c r="N11" s="186"/>
      <c r="O11" s="42" t="s">
        <v>28</v>
      </c>
      <c r="P11" s="42" t="s">
        <v>29</v>
      </c>
      <c r="Q11" s="42" t="s">
        <v>30</v>
      </c>
      <c r="R11" s="42" t="s">
        <v>31</v>
      </c>
      <c r="S11" s="42" t="s">
        <v>32</v>
      </c>
      <c r="T11" s="42" t="s">
        <v>145</v>
      </c>
      <c r="U11" s="186"/>
      <c r="V11" s="186"/>
      <c r="W11" s="189"/>
      <c r="Z11" s="186"/>
      <c r="AA11" s="42" t="s">
        <v>33</v>
      </c>
      <c r="AB11" s="42" t="s">
        <v>34</v>
      </c>
      <c r="AC11" s="42" t="s">
        <v>35</v>
      </c>
      <c r="AD11" s="42" t="s">
        <v>36</v>
      </c>
      <c r="AE11" s="42" t="s">
        <v>37</v>
      </c>
      <c r="AF11" s="42" t="s">
        <v>38</v>
      </c>
      <c r="AG11" s="42" t="s">
        <v>23</v>
      </c>
      <c r="AH11" s="187"/>
      <c r="AI11" s="187"/>
      <c r="AJ11" s="187"/>
      <c r="AK11" s="187"/>
      <c r="AL11" s="187"/>
      <c r="AM11" s="187"/>
      <c r="AN11" s="187"/>
      <c r="AO11" s="187"/>
      <c r="AP11" s="37">
        <f>AP10-(P14+'Приложение №3'!P17)</f>
        <v>-8286316.0109221935</v>
      </c>
      <c r="AQ11" s="35" t="s">
        <v>142</v>
      </c>
      <c r="AR11" s="37" t="s">
        <v>143</v>
      </c>
      <c r="AS11" s="37" t="s">
        <v>144</v>
      </c>
      <c r="AW11" s="186"/>
      <c r="AX11" s="42" t="s">
        <v>33</v>
      </c>
      <c r="AY11" s="42" t="s">
        <v>34</v>
      </c>
      <c r="AZ11" s="42" t="s">
        <v>35</v>
      </c>
      <c r="BA11" s="42" t="s">
        <v>36</v>
      </c>
      <c r="BB11" s="42" t="s">
        <v>37</v>
      </c>
      <c r="BC11" s="42" t="s">
        <v>38</v>
      </c>
      <c r="BD11" s="42" t="s">
        <v>23</v>
      </c>
      <c r="BE11" s="187"/>
      <c r="BF11" s="187"/>
      <c r="BG11" s="187"/>
      <c r="BH11" s="187"/>
      <c r="BI11" s="187"/>
      <c r="BJ11" s="187"/>
      <c r="BK11" s="187"/>
      <c r="BL11" s="187"/>
    </row>
    <row r="12" spans="1:64" s="35" customFormat="1" ht="14.25" x14ac:dyDescent="0.25">
      <c r="A12" s="192"/>
      <c r="B12" s="192"/>
      <c r="C12" s="189"/>
      <c r="D12" s="189"/>
      <c r="E12" s="189"/>
      <c r="F12" s="189"/>
      <c r="G12" s="189"/>
      <c r="H12" s="189"/>
      <c r="I12" s="196"/>
      <c r="J12" s="44" t="s">
        <v>39</v>
      </c>
      <c r="K12" s="44" t="s">
        <v>39</v>
      </c>
      <c r="L12" s="44" t="s">
        <v>39</v>
      </c>
      <c r="M12" s="45" t="s">
        <v>40</v>
      </c>
      <c r="N12" s="43" t="s">
        <v>41</v>
      </c>
      <c r="O12" s="43" t="s">
        <v>41</v>
      </c>
      <c r="P12" s="43"/>
      <c r="Q12" s="43" t="s">
        <v>41</v>
      </c>
      <c r="R12" s="43" t="s">
        <v>41</v>
      </c>
      <c r="S12" s="43" t="s">
        <v>41</v>
      </c>
      <c r="T12" s="43"/>
      <c r="U12" s="43" t="s">
        <v>42</v>
      </c>
      <c r="V12" s="43" t="s">
        <v>42</v>
      </c>
      <c r="W12" s="189"/>
      <c r="Z12" s="43" t="s">
        <v>41</v>
      </c>
      <c r="AA12" s="43" t="s">
        <v>41</v>
      </c>
      <c r="AB12" s="43" t="s">
        <v>41</v>
      </c>
      <c r="AC12" s="43" t="s">
        <v>41</v>
      </c>
      <c r="AD12" s="43" t="s">
        <v>41</v>
      </c>
      <c r="AE12" s="43" t="s">
        <v>41</v>
      </c>
      <c r="AF12" s="43" t="s">
        <v>41</v>
      </c>
      <c r="AG12" s="43" t="s">
        <v>41</v>
      </c>
      <c r="AH12" s="43" t="s">
        <v>41</v>
      </c>
      <c r="AI12" s="43" t="s">
        <v>41</v>
      </c>
      <c r="AJ12" s="43" t="s">
        <v>41</v>
      </c>
      <c r="AK12" s="43" t="s">
        <v>41</v>
      </c>
      <c r="AL12" s="43" t="s">
        <v>41</v>
      </c>
      <c r="AM12" s="43" t="s">
        <v>41</v>
      </c>
      <c r="AN12" s="43" t="s">
        <v>41</v>
      </c>
      <c r="AO12" s="43" t="s">
        <v>41</v>
      </c>
      <c r="AR12" s="37"/>
      <c r="AS12" s="37"/>
      <c r="AW12" s="42" t="s">
        <v>41</v>
      </c>
      <c r="AX12" s="42" t="s">
        <v>41</v>
      </c>
      <c r="AY12" s="42" t="s">
        <v>41</v>
      </c>
      <c r="AZ12" s="42" t="s">
        <v>41</v>
      </c>
      <c r="BA12" s="42" t="s">
        <v>41</v>
      </c>
      <c r="BB12" s="42" t="s">
        <v>41</v>
      </c>
      <c r="BC12" s="42" t="s">
        <v>41</v>
      </c>
      <c r="BD12" s="42" t="s">
        <v>41</v>
      </c>
      <c r="BE12" s="42" t="s">
        <v>41</v>
      </c>
      <c r="BF12" s="42" t="s">
        <v>41</v>
      </c>
      <c r="BG12" s="42" t="s">
        <v>41</v>
      </c>
      <c r="BH12" s="42" t="s">
        <v>41</v>
      </c>
      <c r="BI12" s="42" t="s">
        <v>41</v>
      </c>
      <c r="BJ12" s="42" t="s">
        <v>41</v>
      </c>
      <c r="BK12" s="42" t="s">
        <v>41</v>
      </c>
      <c r="BL12" s="42" t="s">
        <v>41</v>
      </c>
    </row>
    <row r="13" spans="1:64" s="52" customFormat="1" ht="14.25" x14ac:dyDescent="0.25">
      <c r="A13" s="108"/>
      <c r="B13" s="48"/>
      <c r="C13" s="49"/>
      <c r="D13" s="109" t="s">
        <v>610</v>
      </c>
      <c r="E13" s="110"/>
      <c r="F13" s="109"/>
      <c r="G13" s="111"/>
      <c r="H13" s="111"/>
      <c r="I13" s="112"/>
      <c r="J13" s="113"/>
      <c r="K13" s="114"/>
      <c r="L13" s="114"/>
      <c r="M13" s="115"/>
      <c r="N13" s="116">
        <f t="shared" ref="N13:T13" si="0">+N14+N206+N477</f>
        <v>9487895265.0601349</v>
      </c>
      <c r="O13" s="51">
        <f t="shared" si="0"/>
        <v>0</v>
      </c>
      <c r="P13" s="117">
        <f t="shared" si="0"/>
        <v>1430284362.0171189</v>
      </c>
      <c r="Q13" s="117">
        <f t="shared" si="0"/>
        <v>24345044.420000002</v>
      </c>
      <c r="R13" s="117">
        <f t="shared" si="0"/>
        <v>1156761072.3124065</v>
      </c>
      <c r="S13" s="50">
        <f t="shared" si="0"/>
        <v>4015044495.157433</v>
      </c>
      <c r="T13" s="51">
        <f t="shared" si="0"/>
        <v>2861460291.1531758</v>
      </c>
      <c r="U13" s="51"/>
      <c r="V13" s="51"/>
      <c r="W13" s="11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R13" s="118"/>
      <c r="AS13" s="118"/>
      <c r="AW13" s="50">
        <f t="shared" ref="AW13:BL13" si="1">+AW14+AW206+AW477</f>
        <v>9478009665.4382362</v>
      </c>
      <c r="AX13" s="50">
        <f t="shared" si="1"/>
        <v>1677150219.5045509</v>
      </c>
      <c r="AY13" s="50">
        <f t="shared" si="1"/>
        <v>513600508.58796263</v>
      </c>
      <c r="AZ13" s="50">
        <f t="shared" si="1"/>
        <v>654076694.58608091</v>
      </c>
      <c r="BA13" s="50">
        <f t="shared" si="1"/>
        <v>424323420.69428015</v>
      </c>
      <c r="BB13" s="50">
        <f t="shared" si="1"/>
        <v>116335577.86341873</v>
      </c>
      <c r="BC13" s="50">
        <f t="shared" si="1"/>
        <v>0</v>
      </c>
      <c r="BD13" s="50">
        <f t="shared" si="1"/>
        <v>51037584.314107567</v>
      </c>
      <c r="BE13" s="50">
        <f t="shared" si="1"/>
        <v>350001891.62714136</v>
      </c>
      <c r="BF13" s="50">
        <f t="shared" si="1"/>
        <v>1662112542.0462146</v>
      </c>
      <c r="BG13" s="50">
        <f t="shared" si="1"/>
        <v>271750008.00007796</v>
      </c>
      <c r="BH13" s="50">
        <f t="shared" si="1"/>
        <v>2192377704.5280523</v>
      </c>
      <c r="BI13" s="50">
        <f t="shared" si="1"/>
        <v>909890093.2809664</v>
      </c>
      <c r="BJ13" s="50">
        <f t="shared" si="1"/>
        <v>196137464.59426475</v>
      </c>
      <c r="BK13" s="50">
        <f t="shared" si="1"/>
        <v>20981008.408226132</v>
      </c>
      <c r="BL13" s="50">
        <f t="shared" si="1"/>
        <v>286378820.76289159</v>
      </c>
    </row>
    <row r="14" spans="1:64" s="56" customFormat="1" x14ac:dyDescent="0.25">
      <c r="A14" s="119"/>
      <c r="B14" s="53"/>
      <c r="C14" s="53"/>
      <c r="D14" s="53" t="s">
        <v>91</v>
      </c>
      <c r="E14" s="53"/>
      <c r="F14" s="53"/>
      <c r="G14" s="53"/>
      <c r="H14" s="53"/>
      <c r="I14" s="53"/>
      <c r="J14" s="54">
        <f>SUM(J18:J205)</f>
        <v>737192.31</v>
      </c>
      <c r="K14" s="54">
        <f t="shared" ref="K14:M14" si="2">SUM(K18:K205)</f>
        <v>609716.5900000002</v>
      </c>
      <c r="L14" s="54">
        <f t="shared" si="2"/>
        <v>49272.189999999995</v>
      </c>
      <c r="M14" s="54">
        <f t="shared" si="2"/>
        <v>26756</v>
      </c>
      <c r="N14" s="116">
        <f>+P14+Q14+R14+S14+T14</f>
        <v>1905220282.8825881</v>
      </c>
      <c r="O14" s="54">
        <f>SUM(O18:O472)</f>
        <v>0</v>
      </c>
      <c r="P14" s="54">
        <f>+P15+P16+P17</f>
        <v>547450422.01734924</v>
      </c>
      <c r="Q14" s="54">
        <f t="shared" ref="Q14:T14" si="3">+Q15+Q17</f>
        <v>2000000</v>
      </c>
      <c r="R14" s="54">
        <f t="shared" si="3"/>
        <v>265750711.4957523</v>
      </c>
      <c r="S14" s="54">
        <f t="shared" si="3"/>
        <v>867517772.29638338</v>
      </c>
      <c r="T14" s="54">
        <f>+T15+T17</f>
        <v>222501377.07310328</v>
      </c>
      <c r="U14" s="54"/>
      <c r="V14" s="54"/>
      <c r="W14" s="54"/>
      <c r="X14" s="54" t="e">
        <f>+#REF!+#REF!+#REF!+#REF!+#REF!+#REF!</f>
        <v>#REF!</v>
      </c>
      <c r="Y14" s="54" t="e">
        <f>+#REF!+#REF!+#REF!+#REF!+#REF!+#REF!</f>
        <v>#REF!</v>
      </c>
      <c r="Z14" s="54" t="e">
        <f>+#REF!+#REF!+#REF!+#REF!+#REF!+#REF!</f>
        <v>#REF!</v>
      </c>
      <c r="AA14" s="54" t="e">
        <f>+#REF!+#REF!+#REF!+#REF!+#REF!+#REF!</f>
        <v>#REF!</v>
      </c>
      <c r="AB14" s="54" t="e">
        <f>+#REF!+#REF!+#REF!+#REF!+#REF!+#REF!</f>
        <v>#REF!</v>
      </c>
      <c r="AC14" s="54" t="e">
        <f>+#REF!+#REF!+#REF!+#REF!+#REF!+#REF!</f>
        <v>#REF!</v>
      </c>
      <c r="AD14" s="54" t="e">
        <f>+#REF!+#REF!+#REF!+#REF!+#REF!+#REF!</f>
        <v>#REF!</v>
      </c>
      <c r="AE14" s="54" t="e">
        <f>+#REF!+#REF!+#REF!+#REF!+#REF!+#REF!</f>
        <v>#REF!</v>
      </c>
      <c r="AF14" s="54" t="e">
        <f>+#REF!+#REF!+#REF!+#REF!+#REF!+#REF!</f>
        <v>#REF!</v>
      </c>
      <c r="AG14" s="54" t="e">
        <f>+#REF!+#REF!+#REF!+#REF!+#REF!+#REF!</f>
        <v>#REF!</v>
      </c>
      <c r="AH14" s="54" t="e">
        <f>+#REF!+#REF!+#REF!+#REF!+#REF!+#REF!</f>
        <v>#REF!</v>
      </c>
      <c r="AI14" s="54" t="e">
        <f>+#REF!+#REF!+#REF!+#REF!+#REF!+#REF!</f>
        <v>#REF!</v>
      </c>
      <c r="AJ14" s="54" t="e">
        <f>+#REF!+#REF!+#REF!+#REF!+#REF!+#REF!</f>
        <v>#REF!</v>
      </c>
      <c r="AK14" s="54" t="e">
        <f>+#REF!+#REF!+#REF!+#REF!+#REF!+#REF!</f>
        <v>#REF!</v>
      </c>
      <c r="AL14" s="54" t="e">
        <f>+#REF!+#REF!+#REF!+#REF!+#REF!+#REF!</f>
        <v>#REF!</v>
      </c>
      <c r="AM14" s="54" t="e">
        <f>+#REF!+#REF!+#REF!+#REF!+#REF!+#REF!</f>
        <v>#REF!</v>
      </c>
      <c r="AN14" s="54" t="e">
        <f>+#REF!+#REF!+#REF!+#REF!+#REF!+#REF!</f>
        <v>#REF!</v>
      </c>
      <c r="AO14" s="54" t="e">
        <f>+#REF!+#REF!+#REF!+#REF!+#REF!+#REF!</f>
        <v>#REF!</v>
      </c>
      <c r="AP14" s="120">
        <f>+N14-'Приложение №2'!E23</f>
        <v>0</v>
      </c>
      <c r="AR14" s="121"/>
      <c r="AS14" s="121"/>
      <c r="AW14" s="54">
        <f>SUM(AX14:BL14)+AW15+AW16</f>
        <v>1905211449.3063071</v>
      </c>
      <c r="AX14" s="54">
        <f>+AX15+AX17</f>
        <v>261418719.91</v>
      </c>
      <c r="AY14" s="54">
        <f t="shared" ref="AY14:BL14" si="4">+AY15+AY17</f>
        <v>92211687.10999997</v>
      </c>
      <c r="AZ14" s="54">
        <f t="shared" si="4"/>
        <v>91010822.590000033</v>
      </c>
      <c r="BA14" s="54">
        <f t="shared" si="4"/>
        <v>100780746.21000001</v>
      </c>
      <c r="BB14" s="54">
        <f t="shared" si="4"/>
        <v>20726332.382261999</v>
      </c>
      <c r="BC14" s="54">
        <f t="shared" si="4"/>
        <v>0</v>
      </c>
      <c r="BD14" s="54">
        <f t="shared" si="4"/>
        <v>0</v>
      </c>
      <c r="BE14" s="54">
        <f t="shared" si="4"/>
        <v>28694966.400000002</v>
      </c>
      <c r="BF14" s="54">
        <f t="shared" si="4"/>
        <v>417243389.46806598</v>
      </c>
      <c r="BG14" s="54">
        <f t="shared" si="4"/>
        <v>79372152.859999985</v>
      </c>
      <c r="BH14" s="54">
        <f t="shared" si="4"/>
        <v>386032575.02000004</v>
      </c>
      <c r="BI14" s="54">
        <f t="shared" si="4"/>
        <v>162824150.38999999</v>
      </c>
      <c r="BJ14" s="54">
        <f t="shared" si="4"/>
        <v>44622520.010968477</v>
      </c>
      <c r="BK14" s="54">
        <f t="shared" si="4"/>
        <v>3686982.5281604878</v>
      </c>
      <c r="BL14" s="54">
        <f t="shared" si="4"/>
        <v>64730277.78685049</v>
      </c>
    </row>
    <row r="15" spans="1:64" s="56" customFormat="1" x14ac:dyDescent="0.25">
      <c r="A15" s="119"/>
      <c r="B15" s="53"/>
      <c r="C15" s="53"/>
      <c r="D15" s="53" t="s">
        <v>529</v>
      </c>
      <c r="E15" s="53"/>
      <c r="F15" s="53"/>
      <c r="G15" s="53"/>
      <c r="H15" s="53"/>
      <c r="I15" s="53"/>
      <c r="J15" s="54"/>
      <c r="K15" s="54"/>
      <c r="L15" s="54"/>
      <c r="M15" s="54"/>
      <c r="N15" s="116">
        <f t="shared" ref="N15:N28" si="5">+P15+Q15+R15+S15+T15</f>
        <v>147308685.03999999</v>
      </c>
      <c r="O15" s="54"/>
      <c r="P15" s="54">
        <v>147308685.03999999</v>
      </c>
      <c r="Q15" s="54"/>
      <c r="R15" s="54"/>
      <c r="S15" s="54"/>
      <c r="T15" s="54"/>
      <c r="U15" s="54"/>
      <c r="V15" s="54"/>
      <c r="W15" s="58"/>
      <c r="X15" s="59"/>
      <c r="Y15" s="59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8"/>
      <c r="AP15" s="120"/>
      <c r="AR15" s="121"/>
      <c r="AS15" s="121"/>
      <c r="AW15" s="54">
        <v>147308685.03999999</v>
      </c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8"/>
    </row>
    <row r="16" spans="1:64" s="56" customFormat="1" x14ac:dyDescent="0.25">
      <c r="A16" s="53"/>
      <c r="B16" s="53"/>
      <c r="C16" s="53"/>
      <c r="D16" s="53" t="s">
        <v>611</v>
      </c>
      <c r="E16" s="53"/>
      <c r="F16" s="53"/>
      <c r="G16" s="53"/>
      <c r="H16" s="53"/>
      <c r="I16" s="53"/>
      <c r="J16" s="54"/>
      <c r="K16" s="54"/>
      <c r="L16" s="54"/>
      <c r="M16" s="54"/>
      <c r="N16" s="116">
        <v>4547441.6000000006</v>
      </c>
      <c r="O16" s="54"/>
      <c r="P16" s="54">
        <v>4547441.6000000006</v>
      </c>
      <c r="Q16" s="54"/>
      <c r="R16" s="54"/>
      <c r="S16" s="54"/>
      <c r="T16" s="54"/>
      <c r="U16" s="54"/>
      <c r="V16" s="54"/>
      <c r="W16" s="54"/>
      <c r="X16" s="59"/>
      <c r="Y16" s="59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8"/>
      <c r="AP16" s="120"/>
      <c r="AR16" s="121"/>
      <c r="AS16" s="121"/>
      <c r="AW16" s="54">
        <v>4547441.6000000006</v>
      </c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8"/>
    </row>
    <row r="17" spans="1:64" s="56" customFormat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54"/>
      <c r="M17" s="54"/>
      <c r="N17" s="116">
        <f t="shared" si="5"/>
        <v>1753364156.242588</v>
      </c>
      <c r="O17" s="54"/>
      <c r="P17" s="54">
        <f>SUM(P18:P205)</f>
        <v>395594295.3773492</v>
      </c>
      <c r="Q17" s="54">
        <f t="shared" ref="Q17:T17" si="6">SUM(Q18:Q205)</f>
        <v>2000000</v>
      </c>
      <c r="R17" s="54">
        <f t="shared" si="6"/>
        <v>265750711.4957523</v>
      </c>
      <c r="S17" s="54">
        <f t="shared" si="6"/>
        <v>867517772.29638338</v>
      </c>
      <c r="T17" s="54">
        <f t="shared" si="6"/>
        <v>222501377.07310328</v>
      </c>
      <c r="U17" s="54"/>
      <c r="V17" s="54"/>
      <c r="W17" s="54"/>
      <c r="X17" s="59"/>
      <c r="Y17" s="59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8"/>
      <c r="AP17" s="120"/>
      <c r="AR17" s="121"/>
      <c r="AS17" s="121"/>
      <c r="AW17" s="54">
        <f>SUM(AW18:AW205)</f>
        <v>1753355322.6663084</v>
      </c>
      <c r="AX17" s="54">
        <f t="shared" ref="AX17:BL17" si="7">SUM(AX18:AX205)</f>
        <v>261418719.91</v>
      </c>
      <c r="AY17" s="54">
        <f t="shared" si="7"/>
        <v>92211687.10999997</v>
      </c>
      <c r="AZ17" s="54">
        <f t="shared" si="7"/>
        <v>91010822.590000033</v>
      </c>
      <c r="BA17" s="54">
        <f t="shared" si="7"/>
        <v>100780746.21000001</v>
      </c>
      <c r="BB17" s="54">
        <f t="shared" si="7"/>
        <v>20726332.382261999</v>
      </c>
      <c r="BC17" s="54">
        <f t="shared" si="7"/>
        <v>0</v>
      </c>
      <c r="BD17" s="54">
        <f t="shared" si="7"/>
        <v>0</v>
      </c>
      <c r="BE17" s="54">
        <f t="shared" si="7"/>
        <v>28694966.400000002</v>
      </c>
      <c r="BF17" s="54">
        <f t="shared" si="7"/>
        <v>417243389.46806598</v>
      </c>
      <c r="BG17" s="54">
        <f t="shared" si="7"/>
        <v>79372152.859999985</v>
      </c>
      <c r="BH17" s="54">
        <f t="shared" si="7"/>
        <v>386032575.02000004</v>
      </c>
      <c r="BI17" s="54">
        <f t="shared" si="7"/>
        <v>162824150.38999999</v>
      </c>
      <c r="BJ17" s="54">
        <f t="shared" si="7"/>
        <v>44622520.010968477</v>
      </c>
      <c r="BK17" s="54">
        <f t="shared" si="7"/>
        <v>3686982.5281604878</v>
      </c>
      <c r="BL17" s="54">
        <f t="shared" si="7"/>
        <v>64730277.78685049</v>
      </c>
    </row>
    <row r="18" spans="1:64" x14ac:dyDescent="0.25">
      <c r="A18" s="122">
        <v>1</v>
      </c>
      <c r="B18" s="62">
        <v>1</v>
      </c>
      <c r="C18" s="62" t="s">
        <v>50</v>
      </c>
      <c r="D18" s="62" t="s">
        <v>615</v>
      </c>
      <c r="E18" s="123">
        <v>1981</v>
      </c>
      <c r="F18" s="123">
        <v>2011</v>
      </c>
      <c r="G18" s="123" t="s">
        <v>43</v>
      </c>
      <c r="H18" s="123">
        <v>5</v>
      </c>
      <c r="I18" s="123">
        <v>6</v>
      </c>
      <c r="J18" s="64">
        <v>5474.4</v>
      </c>
      <c r="K18" s="64">
        <v>4591</v>
      </c>
      <c r="L18" s="64">
        <v>74.8</v>
      </c>
      <c r="M18" s="124">
        <v>142</v>
      </c>
      <c r="N18" s="95">
        <f t="shared" si="5"/>
        <v>35883420.902660385</v>
      </c>
      <c r="O18" s="125"/>
      <c r="P18" s="64">
        <v>6584690.7694666684</v>
      </c>
      <c r="Q18" s="64">
        <v>1000000</v>
      </c>
      <c r="R18" s="64">
        <f>+AQ18+AR18-140393.650533333</f>
        <v>2702980.2694666674</v>
      </c>
      <c r="S18" s="64">
        <v>21119848.48</v>
      </c>
      <c r="T18" s="64">
        <f>+'Приложение №2'!E27-'Приложение №1'!P18-'Приложение №1'!Q18-'Приложение №1'!R18-'Приложение №1'!S18</f>
        <v>4475901.3837270476</v>
      </c>
      <c r="U18" s="64">
        <f t="shared" ref="U18:V28" si="8">$N18/($K18+$L18)</f>
        <v>7690.7327580822976</v>
      </c>
      <c r="V18" s="64">
        <f t="shared" si="8"/>
        <v>7690.7327580822976</v>
      </c>
      <c r="W18" s="126">
        <v>2022</v>
      </c>
      <c r="X18" s="127" t="e">
        <f>+#REF!-'[1]Приложение №1'!$P553</f>
        <v>#REF!</v>
      </c>
      <c r="Z18" s="95">
        <f t="shared" ref="Z18:Z28" si="9">SUM(AA18:AO18)</f>
        <v>55434949.75906302</v>
      </c>
      <c r="AA18" s="64">
        <v>13084371.274765186</v>
      </c>
      <c r="AB18" s="64">
        <v>6792071.8799999999</v>
      </c>
      <c r="AC18" s="64"/>
      <c r="AD18" s="64">
        <v>2807007.18</v>
      </c>
      <c r="AE18" s="64">
        <v>0</v>
      </c>
      <c r="AF18" s="64"/>
      <c r="AG18" s="64">
        <v>422606.15206366888</v>
      </c>
      <c r="AH18" s="64">
        <v>0</v>
      </c>
      <c r="AI18" s="64">
        <v>18902393.048395503</v>
      </c>
      <c r="AJ18" s="64">
        <v>8467593.2400000002</v>
      </c>
      <c r="AK18" s="64">
        <v>0</v>
      </c>
      <c r="AL18" s="64">
        <v>0</v>
      </c>
      <c r="AM18" s="64">
        <v>3733539.2883253875</v>
      </c>
      <c r="AN18" s="64">
        <v>375954.61581589025</v>
      </c>
      <c r="AO18" s="96">
        <v>849413.07969738182</v>
      </c>
      <c r="AP18" s="128">
        <f>+N18-'Приложение №2'!E27</f>
        <v>0</v>
      </c>
      <c r="AQ18" s="23">
        <v>2359832.7200000002</v>
      </c>
      <c r="AR18" s="25">
        <f t="shared" ref="AR18:AR27" si="10">+(K18*10+L18*20)*12*0.85</f>
        <v>483541.2</v>
      </c>
      <c r="AS18" s="25">
        <f t="shared" ref="AS18:AS26" si="11">+(K18*10+L18*20)*12*30</f>
        <v>17066160</v>
      </c>
      <c r="AT18" s="127">
        <f t="shared" ref="AT18:AT78" si="12">+S18-AS18</f>
        <v>4053688.4800000004</v>
      </c>
      <c r="AW18" s="63">
        <f t="shared" ref="AW18:AW81" si="13">SUBTOTAL(9,AX18:BL18)</f>
        <v>35883420.902660385</v>
      </c>
      <c r="AX18" s="64">
        <v>11937105.199999999</v>
      </c>
      <c r="AY18" s="64">
        <v>7031659.7400000002</v>
      </c>
      <c r="AZ18" s="64"/>
      <c r="BA18" s="64">
        <v>2917316.85</v>
      </c>
      <c r="BB18" s="64">
        <v>0</v>
      </c>
      <c r="BC18" s="64"/>
      <c r="BD18" s="64"/>
      <c r="BE18" s="64">
        <v>0</v>
      </c>
      <c r="BF18" s="64">
        <v>4693934.4000000004</v>
      </c>
      <c r="BG18" s="64">
        <v>8467593.2400000002</v>
      </c>
      <c r="BH18" s="64">
        <v>0</v>
      </c>
      <c r="BI18" s="64">
        <v>0</v>
      </c>
      <c r="BJ18" s="64"/>
      <c r="BK18" s="65"/>
      <c r="BL18" s="66">
        <v>835811.47266038705</v>
      </c>
    </row>
    <row r="19" spans="1:64" x14ac:dyDescent="0.25">
      <c r="A19" s="122">
        <f t="shared" ref="A19:A82" si="14">+A18+1</f>
        <v>2</v>
      </c>
      <c r="B19" s="62">
        <f t="shared" ref="B19:B82" si="15">+B18+1</f>
        <v>2</v>
      </c>
      <c r="C19" s="62" t="s">
        <v>50</v>
      </c>
      <c r="D19" s="62" t="s">
        <v>616</v>
      </c>
      <c r="E19" s="123">
        <v>1982</v>
      </c>
      <c r="F19" s="123">
        <v>2011</v>
      </c>
      <c r="G19" s="123" t="s">
        <v>43</v>
      </c>
      <c r="H19" s="123">
        <v>5</v>
      </c>
      <c r="I19" s="123">
        <v>6</v>
      </c>
      <c r="J19" s="64">
        <v>4657</v>
      </c>
      <c r="K19" s="64">
        <v>4657</v>
      </c>
      <c r="L19" s="64">
        <v>0</v>
      </c>
      <c r="M19" s="124">
        <v>172</v>
      </c>
      <c r="N19" s="95">
        <f t="shared" si="5"/>
        <v>34138401.5</v>
      </c>
      <c r="O19" s="125"/>
      <c r="P19" s="64">
        <v>4521209.8100000015</v>
      </c>
      <c r="Q19" s="64">
        <v>1000000</v>
      </c>
      <c r="R19" s="64">
        <f>+AQ19+AR19</f>
        <v>2932021.84</v>
      </c>
      <c r="S19" s="64">
        <f>+AS19</f>
        <v>16765200</v>
      </c>
      <c r="T19" s="64">
        <f>+'Приложение №2'!E28-'Приложение №1'!P19-'Приложение №1'!Q19-'Приложение №1'!R19-'Приложение №1'!S19</f>
        <v>8919969.8499999978</v>
      </c>
      <c r="U19" s="64">
        <f t="shared" si="8"/>
        <v>7330.5564741249727</v>
      </c>
      <c r="V19" s="64">
        <f t="shared" si="8"/>
        <v>7330.5564741249727</v>
      </c>
      <c r="W19" s="126">
        <v>2022</v>
      </c>
      <c r="X19" s="127" t="e">
        <f>+#REF!-'[1]Приложение №1'!$P554</f>
        <v>#REF!</v>
      </c>
      <c r="Z19" s="95">
        <f t="shared" si="9"/>
        <v>55631222.155761994</v>
      </c>
      <c r="AA19" s="64">
        <v>13087181.552321568</v>
      </c>
      <c r="AB19" s="64">
        <v>6304509.4247438349</v>
      </c>
      <c r="AC19" s="64"/>
      <c r="AD19" s="64">
        <v>2789523</v>
      </c>
      <c r="AE19" s="64">
        <v>0</v>
      </c>
      <c r="AF19" s="64"/>
      <c r="AG19" s="64">
        <v>422696.91993928124</v>
      </c>
      <c r="AH19" s="64">
        <v>0</v>
      </c>
      <c r="AI19" s="64">
        <v>18906452.927913617</v>
      </c>
      <c r="AJ19" s="64">
        <v>8471863.8000000007</v>
      </c>
      <c r="AK19" s="64">
        <v>0</v>
      </c>
      <c r="AL19" s="64">
        <v>0</v>
      </c>
      <c r="AM19" s="64">
        <v>4266399.7839222131</v>
      </c>
      <c r="AN19" s="64">
        <v>445086.13631034014</v>
      </c>
      <c r="AO19" s="96">
        <v>937508.61061115132</v>
      </c>
      <c r="AP19" s="128">
        <f>+N19-'Приложение №2'!E28</f>
        <v>0</v>
      </c>
      <c r="AQ19" s="23">
        <v>2457007.84</v>
      </c>
      <c r="AR19" s="25">
        <f t="shared" si="10"/>
        <v>475014</v>
      </c>
      <c r="AS19" s="25">
        <f t="shared" si="11"/>
        <v>16765200</v>
      </c>
      <c r="AT19" s="127">
        <f t="shared" si="12"/>
        <v>0</v>
      </c>
      <c r="AW19" s="63">
        <f t="shared" si="13"/>
        <v>34138401.5</v>
      </c>
      <c r="AX19" s="64">
        <v>10136488.119999999</v>
      </c>
      <c r="AY19" s="64">
        <v>6838744.3399999999</v>
      </c>
      <c r="AZ19" s="64"/>
      <c r="BA19" s="64">
        <v>2920060.1</v>
      </c>
      <c r="BB19" s="64">
        <v>0</v>
      </c>
      <c r="BC19" s="64"/>
      <c r="BD19" s="64"/>
      <c r="BE19" s="64">
        <v>0</v>
      </c>
      <c r="BF19" s="64">
        <v>4839492</v>
      </c>
      <c r="BG19" s="64">
        <v>8471863.8000000007</v>
      </c>
      <c r="BH19" s="64">
        <v>0</v>
      </c>
      <c r="BI19" s="64">
        <v>0</v>
      </c>
      <c r="BJ19" s="64"/>
      <c r="BK19" s="65"/>
      <c r="BL19" s="66">
        <v>931753.14</v>
      </c>
    </row>
    <row r="20" spans="1:64" x14ac:dyDescent="0.25">
      <c r="A20" s="122">
        <f t="shared" si="14"/>
        <v>3</v>
      </c>
      <c r="B20" s="62">
        <f t="shared" si="15"/>
        <v>3</v>
      </c>
      <c r="C20" s="62" t="s">
        <v>50</v>
      </c>
      <c r="D20" s="62" t="s">
        <v>617</v>
      </c>
      <c r="E20" s="123">
        <v>1983</v>
      </c>
      <c r="F20" s="123">
        <v>2011</v>
      </c>
      <c r="G20" s="123" t="s">
        <v>43</v>
      </c>
      <c r="H20" s="123">
        <v>5</v>
      </c>
      <c r="I20" s="123">
        <v>4</v>
      </c>
      <c r="J20" s="64">
        <v>3725.7</v>
      </c>
      <c r="K20" s="64">
        <v>3170.6</v>
      </c>
      <c r="L20" s="64">
        <v>0</v>
      </c>
      <c r="M20" s="124">
        <v>120</v>
      </c>
      <c r="N20" s="63">
        <f t="shared" si="5"/>
        <v>21804481.706755411</v>
      </c>
      <c r="O20" s="125"/>
      <c r="P20" s="65">
        <f>2891231.49+1297400.88</f>
        <v>4188632.37</v>
      </c>
      <c r="Q20" s="65">
        <v>0</v>
      </c>
      <c r="R20" s="65">
        <f>+AQ20+AR20</f>
        <v>1877886.64</v>
      </c>
      <c r="S20" s="65">
        <f>+AS20</f>
        <v>11414160</v>
      </c>
      <c r="T20" s="64">
        <f>+'Приложение №2'!E29-'Приложение №1'!P20-'Приложение №1'!Q20-'Приложение №1'!R20-'Приложение №1'!S20</f>
        <v>4323802.696755413</v>
      </c>
      <c r="U20" s="65">
        <f t="shared" si="8"/>
        <v>6877.0837402243778</v>
      </c>
      <c r="V20" s="65">
        <f t="shared" si="8"/>
        <v>6877.0837402243778</v>
      </c>
      <c r="W20" s="126">
        <v>2022</v>
      </c>
      <c r="X20" s="127" t="e">
        <f>+#REF!-'[1]Приложение №1'!$P555</f>
        <v>#REF!</v>
      </c>
      <c r="Z20" s="63">
        <f t="shared" si="9"/>
        <v>17332985.384287372</v>
      </c>
      <c r="AA20" s="64">
        <v>8910266.0202690158</v>
      </c>
      <c r="AB20" s="64">
        <v>4292357.0577192558</v>
      </c>
      <c r="AC20" s="64"/>
      <c r="AD20" s="64">
        <v>1766460.1357282575</v>
      </c>
      <c r="AE20" s="64">
        <v>0</v>
      </c>
      <c r="AF20" s="64"/>
      <c r="AG20" s="64">
        <v>287788.6264166045</v>
      </c>
      <c r="AH20" s="64">
        <v>0</v>
      </c>
      <c r="AI20" s="64">
        <v>0</v>
      </c>
      <c r="AJ20" s="64"/>
      <c r="AK20" s="64">
        <v>0</v>
      </c>
      <c r="AL20" s="64">
        <v>0</v>
      </c>
      <c r="AM20" s="64">
        <v>1569146.8035559531</v>
      </c>
      <c r="AN20" s="65">
        <v>173329.85384287377</v>
      </c>
      <c r="AO20" s="66">
        <v>333636.88675541501</v>
      </c>
      <c r="AP20" s="128">
        <f>+N20-'Приложение №2'!E29</f>
        <v>0</v>
      </c>
      <c r="AQ20" s="23">
        <v>1554485.44</v>
      </c>
      <c r="AR20" s="25">
        <f t="shared" si="10"/>
        <v>323401.2</v>
      </c>
      <c r="AS20" s="25">
        <f t="shared" si="11"/>
        <v>11414160</v>
      </c>
      <c r="AT20" s="127">
        <f t="shared" si="12"/>
        <v>0</v>
      </c>
      <c r="AW20" s="63">
        <f t="shared" si="13"/>
        <v>21804481.706755415</v>
      </c>
      <c r="AX20" s="64">
        <v>8693551.2400000002</v>
      </c>
      <c r="AY20" s="64">
        <v>2539728.9700000002</v>
      </c>
      <c r="AZ20" s="64"/>
      <c r="BA20" s="64">
        <v>1744090.12</v>
      </c>
      <c r="BB20" s="64">
        <v>0</v>
      </c>
      <c r="BC20" s="64"/>
      <c r="BD20" s="64"/>
      <c r="BE20" s="64">
        <v>0</v>
      </c>
      <c r="BF20" s="64">
        <v>2720365.2</v>
      </c>
      <c r="BG20" s="64">
        <v>5773109.29</v>
      </c>
      <c r="BH20" s="64">
        <v>0</v>
      </c>
      <c r="BI20" s="64">
        <v>0</v>
      </c>
      <c r="BJ20" s="64"/>
      <c r="BK20" s="65"/>
      <c r="BL20" s="66">
        <v>333636.88675541501</v>
      </c>
    </row>
    <row r="21" spans="1:64" x14ac:dyDescent="0.25">
      <c r="A21" s="122">
        <f t="shared" si="14"/>
        <v>4</v>
      </c>
      <c r="B21" s="62">
        <f t="shared" si="15"/>
        <v>4</v>
      </c>
      <c r="C21" s="62" t="s">
        <v>71</v>
      </c>
      <c r="D21" s="62" t="s">
        <v>619</v>
      </c>
      <c r="E21" s="123">
        <v>1995</v>
      </c>
      <c r="F21" s="123">
        <v>2013</v>
      </c>
      <c r="G21" s="123" t="s">
        <v>43</v>
      </c>
      <c r="H21" s="123">
        <v>3</v>
      </c>
      <c r="I21" s="123">
        <v>4</v>
      </c>
      <c r="J21" s="64">
        <v>2740.5</v>
      </c>
      <c r="K21" s="64">
        <v>1849.2</v>
      </c>
      <c r="L21" s="64">
        <v>0</v>
      </c>
      <c r="M21" s="124">
        <v>67</v>
      </c>
      <c r="N21" s="63">
        <f t="shared" si="5"/>
        <v>6683521.8589600008</v>
      </c>
      <c r="O21" s="64"/>
      <c r="P21" s="65"/>
      <c r="Q21" s="65"/>
      <c r="R21" s="65">
        <f>+AQ21+AR21</f>
        <v>1097135.0899999999</v>
      </c>
      <c r="S21" s="65">
        <f>+'Приложение №2'!E30-'Приложение №1'!P21-'Приложение №1'!Q21-'Приложение №1'!R21</f>
        <v>5586386.7689600009</v>
      </c>
      <c r="T21" s="64">
        <f>+'Приложение №2'!E30-'Приложение №1'!P21-'Приложение №1'!Q21-'Приложение №1'!R21-'Приложение №1'!S21</f>
        <v>0</v>
      </c>
      <c r="U21" s="65">
        <f t="shared" si="8"/>
        <v>3614.2774491455766</v>
      </c>
      <c r="V21" s="65">
        <f t="shared" si="8"/>
        <v>3614.2774491455766</v>
      </c>
      <c r="W21" s="126">
        <v>2022</v>
      </c>
      <c r="X21" s="127" t="e">
        <f>+#REF!-'[1]Приложение №1'!$P909</f>
        <v>#REF!</v>
      </c>
      <c r="Z21" s="63">
        <f t="shared" si="9"/>
        <v>17794596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/>
      <c r="AG21" s="64">
        <v>0</v>
      </c>
      <c r="AH21" s="64">
        <v>0</v>
      </c>
      <c r="AI21" s="64">
        <v>15672412.481039999</v>
      </c>
      <c r="AJ21" s="64">
        <v>0</v>
      </c>
      <c r="AK21" s="64">
        <v>0</v>
      </c>
      <c r="AL21" s="64">
        <v>0</v>
      </c>
      <c r="AM21" s="64">
        <v>1601513.64</v>
      </c>
      <c r="AN21" s="65">
        <v>177945.96</v>
      </c>
      <c r="AO21" s="66">
        <v>342723.91895999998</v>
      </c>
      <c r="AP21" s="128">
        <f>+N21-'Приложение №2'!E30</f>
        <v>0</v>
      </c>
      <c r="AQ21" s="38">
        <v>908516.69</v>
      </c>
      <c r="AR21" s="25">
        <f t="shared" si="10"/>
        <v>188618.4</v>
      </c>
      <c r="AS21" s="25">
        <f t="shared" si="11"/>
        <v>6657120</v>
      </c>
      <c r="AT21" s="127">
        <f t="shared" si="12"/>
        <v>-1070733.2310399991</v>
      </c>
      <c r="AW21" s="63">
        <f t="shared" si="13"/>
        <v>6683521.8589600008</v>
      </c>
      <c r="AX21" s="64">
        <v>0</v>
      </c>
      <c r="AY21" s="64">
        <v>0</v>
      </c>
      <c r="AZ21" s="64">
        <v>0</v>
      </c>
      <c r="BA21" s="64">
        <v>0</v>
      </c>
      <c r="BB21" s="64">
        <v>0</v>
      </c>
      <c r="BC21" s="64"/>
      <c r="BD21" s="64"/>
      <c r="BE21" s="64">
        <v>0</v>
      </c>
      <c r="BF21" s="64">
        <v>6340797.9400000004</v>
      </c>
      <c r="BG21" s="64">
        <v>0</v>
      </c>
      <c r="BH21" s="64">
        <v>0</v>
      </c>
      <c r="BI21" s="64">
        <v>0</v>
      </c>
      <c r="BJ21" s="64"/>
      <c r="BK21" s="65"/>
      <c r="BL21" s="66">
        <v>342723.91895999998</v>
      </c>
    </row>
    <row r="22" spans="1:64" x14ac:dyDescent="0.25">
      <c r="A22" s="122">
        <f t="shared" si="14"/>
        <v>5</v>
      </c>
      <c r="B22" s="62">
        <f t="shared" si="15"/>
        <v>5</v>
      </c>
      <c r="C22" s="62" t="s">
        <v>71</v>
      </c>
      <c r="D22" s="62" t="s">
        <v>620</v>
      </c>
      <c r="E22" s="123">
        <v>1994</v>
      </c>
      <c r="F22" s="123">
        <v>2013</v>
      </c>
      <c r="G22" s="123" t="s">
        <v>43</v>
      </c>
      <c r="H22" s="123">
        <v>3</v>
      </c>
      <c r="I22" s="123">
        <v>2</v>
      </c>
      <c r="J22" s="64">
        <v>1781.6</v>
      </c>
      <c r="K22" s="64">
        <v>1210.5999999999999</v>
      </c>
      <c r="L22" s="64">
        <v>0</v>
      </c>
      <c r="M22" s="124">
        <v>67</v>
      </c>
      <c r="N22" s="63">
        <f t="shared" si="5"/>
        <v>1380495.8153303184</v>
      </c>
      <c r="O22" s="64"/>
      <c r="P22" s="65"/>
      <c r="Q22" s="65"/>
      <c r="R22" s="65">
        <v>428000.15</v>
      </c>
      <c r="S22" s="65">
        <f>+'Приложение №2'!E31-'Приложение №1'!P22-'Приложение №1'!Q22-'Приложение №1'!R22</f>
        <v>952495.66533031838</v>
      </c>
      <c r="T22" s="64">
        <f>+'Приложение №2'!E31-'Приложение №1'!P22-'Приложение №1'!Q22-'Приложение №1'!R22-'Приложение №1'!S22</f>
        <v>0</v>
      </c>
      <c r="U22" s="65">
        <f t="shared" si="8"/>
        <v>1140.3401745665938</v>
      </c>
      <c r="V22" s="65">
        <f t="shared" si="8"/>
        <v>1140.3401745665938</v>
      </c>
      <c r="W22" s="126">
        <v>2022</v>
      </c>
      <c r="X22" s="127" t="e">
        <f>+#REF!-'[1]Приложение №1'!$P910</f>
        <v>#REF!</v>
      </c>
      <c r="Z22" s="63">
        <f t="shared" si="9"/>
        <v>5516150.6245547542</v>
      </c>
      <c r="AA22" s="64">
        <v>4565756.2689250316</v>
      </c>
      <c r="AB22" s="64">
        <v>0</v>
      </c>
      <c r="AC22" s="64">
        <v>0</v>
      </c>
      <c r="AD22" s="64">
        <v>0</v>
      </c>
      <c r="AE22" s="64">
        <v>0</v>
      </c>
      <c r="AF22" s="64"/>
      <c r="AG22" s="64">
        <v>373174.61155392334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414053.82249993231</v>
      </c>
      <c r="AN22" s="65">
        <v>55161.506245547534</v>
      </c>
      <c r="AO22" s="66">
        <v>108004.41533031844</v>
      </c>
      <c r="AP22" s="128">
        <f>+N22-'Приложение №2'!E31</f>
        <v>0</v>
      </c>
      <c r="AQ22" s="38">
        <v>581248.32999999996</v>
      </c>
      <c r="AR22" s="25">
        <f t="shared" si="10"/>
        <v>123481.2</v>
      </c>
      <c r="AS22" s="25">
        <f t="shared" si="11"/>
        <v>4358160</v>
      </c>
      <c r="AT22" s="127">
        <f t="shared" si="12"/>
        <v>-3405664.3346696817</v>
      </c>
      <c r="AW22" s="63">
        <f t="shared" si="13"/>
        <v>1380495.8153303184</v>
      </c>
      <c r="AX22" s="64">
        <v>1272491.3999999999</v>
      </c>
      <c r="AY22" s="64">
        <v>0</v>
      </c>
      <c r="AZ22" s="64">
        <v>0</v>
      </c>
      <c r="BA22" s="64">
        <v>0</v>
      </c>
      <c r="BB22" s="64">
        <v>0</v>
      </c>
      <c r="BC22" s="64"/>
      <c r="BD22" s="64"/>
      <c r="BE22" s="64">
        <v>0</v>
      </c>
      <c r="BF22" s="64">
        <v>0</v>
      </c>
      <c r="BG22" s="64">
        <v>0</v>
      </c>
      <c r="BH22" s="64">
        <v>0</v>
      </c>
      <c r="BI22" s="64">
        <v>0</v>
      </c>
      <c r="BJ22" s="64"/>
      <c r="BK22" s="65"/>
      <c r="BL22" s="66">
        <v>108004.41533031844</v>
      </c>
    </row>
    <row r="23" spans="1:64" x14ac:dyDescent="0.25">
      <c r="A23" s="122">
        <f t="shared" si="14"/>
        <v>6</v>
      </c>
      <c r="B23" s="62">
        <f t="shared" si="15"/>
        <v>6</v>
      </c>
      <c r="C23" s="62" t="s">
        <v>71</v>
      </c>
      <c r="D23" s="62" t="s">
        <v>621</v>
      </c>
      <c r="E23" s="123">
        <v>1993</v>
      </c>
      <c r="F23" s="123">
        <v>2013</v>
      </c>
      <c r="G23" s="123" t="s">
        <v>43</v>
      </c>
      <c r="H23" s="123">
        <v>2</v>
      </c>
      <c r="I23" s="123">
        <v>0</v>
      </c>
      <c r="J23" s="64">
        <v>868.3</v>
      </c>
      <c r="K23" s="64">
        <v>868.3</v>
      </c>
      <c r="L23" s="64">
        <v>0</v>
      </c>
      <c r="M23" s="124">
        <v>31</v>
      </c>
      <c r="N23" s="63">
        <f t="shared" si="5"/>
        <v>2472986.52</v>
      </c>
      <c r="O23" s="64"/>
      <c r="P23" s="72"/>
      <c r="Q23" s="65"/>
      <c r="R23" s="65">
        <f>+AQ23+AR23</f>
        <v>505278.45999999996</v>
      </c>
      <c r="S23" s="65">
        <f>+'Приложение №2'!E32-'Приложение №1'!P23-'Приложение №1'!R23</f>
        <v>1967708.06</v>
      </c>
      <c r="T23" s="64">
        <f>+'Приложение №2'!E32-'Приложение №1'!P23-'Приложение №1'!Q23-'Приложение №1'!R23-'Приложение №1'!S23</f>
        <v>0</v>
      </c>
      <c r="U23" s="65">
        <f t="shared" si="8"/>
        <v>2848.0784521478754</v>
      </c>
      <c r="V23" s="65">
        <f t="shared" si="8"/>
        <v>2848.0784521478754</v>
      </c>
      <c r="W23" s="126">
        <v>2022</v>
      </c>
      <c r="X23" s="127" t="e">
        <f>+#REF!-'[1]Приложение №1'!$P911</f>
        <v>#REF!</v>
      </c>
      <c r="Z23" s="63">
        <f t="shared" si="9"/>
        <v>3949769.5149232973</v>
      </c>
      <c r="AA23" s="64">
        <v>3597070.04</v>
      </c>
      <c r="AB23" s="64">
        <v>0</v>
      </c>
      <c r="AC23" s="64">
        <v>0</v>
      </c>
      <c r="AD23" s="64">
        <v>0</v>
      </c>
      <c r="AE23" s="64">
        <v>0</v>
      </c>
      <c r="AF23" s="64"/>
      <c r="AG23" s="64">
        <v>269001.86492329749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28876.78</v>
      </c>
      <c r="AN23" s="65">
        <v>10000</v>
      </c>
      <c r="AO23" s="66">
        <v>44820.83</v>
      </c>
      <c r="AP23" s="128">
        <f>+N23-'Приложение №2'!E32</f>
        <v>0</v>
      </c>
      <c r="AQ23" s="38">
        <v>416711.86</v>
      </c>
      <c r="AR23" s="25">
        <f t="shared" si="10"/>
        <v>88566.599999999991</v>
      </c>
      <c r="AS23" s="25">
        <f t="shared" si="11"/>
        <v>3125880</v>
      </c>
      <c r="AT23" s="127">
        <f t="shared" si="12"/>
        <v>-1158171.94</v>
      </c>
      <c r="AW23" s="63">
        <f t="shared" si="13"/>
        <v>2472986.52</v>
      </c>
      <c r="AX23" s="64">
        <v>2428165.69</v>
      </c>
      <c r="AY23" s="64">
        <v>0</v>
      </c>
      <c r="AZ23" s="64">
        <v>0</v>
      </c>
      <c r="BA23" s="64">
        <v>0</v>
      </c>
      <c r="BB23" s="64">
        <v>0</v>
      </c>
      <c r="BC23" s="64"/>
      <c r="BD23" s="64"/>
      <c r="BE23" s="64">
        <v>0</v>
      </c>
      <c r="BF23" s="64">
        <v>0</v>
      </c>
      <c r="BG23" s="64">
        <v>0</v>
      </c>
      <c r="BH23" s="64">
        <v>0</v>
      </c>
      <c r="BI23" s="64">
        <v>0</v>
      </c>
      <c r="BJ23" s="64"/>
      <c r="BK23" s="65"/>
      <c r="BL23" s="66">
        <v>44820.83</v>
      </c>
    </row>
    <row r="24" spans="1:64" x14ac:dyDescent="0.25">
      <c r="A24" s="122">
        <f t="shared" si="14"/>
        <v>7</v>
      </c>
      <c r="B24" s="62">
        <f t="shared" si="15"/>
        <v>7</v>
      </c>
      <c r="C24" s="62" t="s">
        <v>51</v>
      </c>
      <c r="D24" s="62" t="s">
        <v>623</v>
      </c>
      <c r="E24" s="123">
        <v>1993</v>
      </c>
      <c r="F24" s="123">
        <v>2012</v>
      </c>
      <c r="G24" s="123" t="s">
        <v>43</v>
      </c>
      <c r="H24" s="123">
        <v>3</v>
      </c>
      <c r="I24" s="123">
        <v>1</v>
      </c>
      <c r="J24" s="64">
        <v>1090</v>
      </c>
      <c r="K24" s="64">
        <v>942.47</v>
      </c>
      <c r="L24" s="64">
        <v>0</v>
      </c>
      <c r="M24" s="124">
        <v>33</v>
      </c>
      <c r="N24" s="63">
        <f t="shared" si="5"/>
        <v>113078.26467698808</v>
      </c>
      <c r="O24" s="125"/>
      <c r="P24" s="65"/>
      <c r="Q24" s="65"/>
      <c r="R24" s="65">
        <f>+'Приложение №2'!E33</f>
        <v>113078.26467698808</v>
      </c>
      <c r="S24" s="65">
        <f>+'Приложение №2'!E33-'Приложение №1'!R24</f>
        <v>0</v>
      </c>
      <c r="T24" s="64">
        <f>+'Приложение №2'!E33-'Приложение №1'!P24-'Приложение №1'!Q24-'Приложение №1'!R24-'Приложение №1'!S24</f>
        <v>0</v>
      </c>
      <c r="U24" s="65">
        <f t="shared" si="8"/>
        <v>119.98075766548334</v>
      </c>
      <c r="V24" s="65">
        <f t="shared" si="8"/>
        <v>119.98075766548334</v>
      </c>
      <c r="W24" s="126">
        <v>2022</v>
      </c>
      <c r="X24" s="127" t="e">
        <f>+#REF!-'[1]Приложение №1'!$P556</f>
        <v>#REF!</v>
      </c>
      <c r="Z24" s="63">
        <f t="shared" si="9"/>
        <v>1353938.3335296002</v>
      </c>
      <c r="AA24" s="64">
        <v>0</v>
      </c>
      <c r="AB24" s="64">
        <v>0</v>
      </c>
      <c r="AC24" s="64">
        <v>766834.98031195218</v>
      </c>
      <c r="AD24" s="64">
        <v>398482.47555609996</v>
      </c>
      <c r="AE24" s="64">
        <v>0</v>
      </c>
      <c r="AF24" s="64"/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149598.36173318402</v>
      </c>
      <c r="AN24" s="65">
        <v>13539.383335296003</v>
      </c>
      <c r="AO24" s="66">
        <v>25483.132593067974</v>
      </c>
      <c r="AP24" s="128">
        <f>+N24-'Приложение №2'!E33</f>
        <v>0</v>
      </c>
      <c r="AQ24" s="23">
        <v>502001.62</v>
      </c>
      <c r="AR24" s="25">
        <f t="shared" si="10"/>
        <v>96131.94</v>
      </c>
      <c r="AS24" s="25">
        <f t="shared" si="11"/>
        <v>3392892.0000000005</v>
      </c>
      <c r="AT24" s="127">
        <f t="shared" si="12"/>
        <v>-3392892.0000000005</v>
      </c>
      <c r="AW24" s="63">
        <f t="shared" si="13"/>
        <v>113078.26467698808</v>
      </c>
      <c r="AX24" s="64">
        <v>0</v>
      </c>
      <c r="AY24" s="64">
        <v>0</v>
      </c>
      <c r="AZ24" s="64"/>
      <c r="BA24" s="64">
        <v>104364.26</v>
      </c>
      <c r="BB24" s="64">
        <v>0</v>
      </c>
      <c r="BC24" s="64"/>
      <c r="BD24" s="64"/>
      <c r="BE24" s="64">
        <v>0</v>
      </c>
      <c r="BF24" s="64">
        <v>0</v>
      </c>
      <c r="BG24" s="64">
        <v>0</v>
      </c>
      <c r="BH24" s="64">
        <v>0</v>
      </c>
      <c r="BI24" s="64">
        <v>0</v>
      </c>
      <c r="BJ24" s="64"/>
      <c r="BK24" s="65"/>
      <c r="BL24" s="66">
        <v>8714.0046769880846</v>
      </c>
    </row>
    <row r="25" spans="1:64" x14ac:dyDescent="0.25">
      <c r="A25" s="122">
        <f t="shared" si="14"/>
        <v>8</v>
      </c>
      <c r="B25" s="62">
        <f t="shared" si="15"/>
        <v>8</v>
      </c>
      <c r="C25" s="62" t="s">
        <v>51</v>
      </c>
      <c r="D25" s="62" t="s">
        <v>624</v>
      </c>
      <c r="E25" s="123">
        <v>1990</v>
      </c>
      <c r="F25" s="123">
        <v>1990</v>
      </c>
      <c r="G25" s="123" t="s">
        <v>43</v>
      </c>
      <c r="H25" s="123">
        <v>5</v>
      </c>
      <c r="I25" s="123">
        <v>6</v>
      </c>
      <c r="J25" s="64">
        <v>5208.7</v>
      </c>
      <c r="K25" s="64">
        <v>4621.34</v>
      </c>
      <c r="L25" s="64">
        <v>0</v>
      </c>
      <c r="M25" s="124">
        <v>157</v>
      </c>
      <c r="N25" s="63">
        <f t="shared" si="5"/>
        <v>5366313.5354361599</v>
      </c>
      <c r="O25" s="64"/>
      <c r="P25" s="65"/>
      <c r="Q25" s="65"/>
      <c r="R25" s="65">
        <v>1998629.62</v>
      </c>
      <c r="S25" s="65">
        <f>+'Приложение №2'!E34-'Приложение №1'!R25</f>
        <v>3367683.9154361598</v>
      </c>
      <c r="T25" s="64">
        <f>+'Приложение №2'!E34-'Приложение №1'!P25-'Приложение №1'!Q25-'Приложение №1'!R25-'Приложение №1'!S25</f>
        <v>0</v>
      </c>
      <c r="U25" s="65">
        <f t="shared" si="8"/>
        <v>1161.2029271674794</v>
      </c>
      <c r="V25" s="65">
        <f t="shared" si="8"/>
        <v>1161.2029271674794</v>
      </c>
      <c r="W25" s="126">
        <v>2022</v>
      </c>
      <c r="X25" s="127" t="e">
        <f>+#REF!-'[1]Приложение №1'!$P1317</f>
        <v>#REF!</v>
      </c>
      <c r="Z25" s="63">
        <f t="shared" si="9"/>
        <v>24135948.530553602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/>
      <c r="AG25" s="64">
        <v>0</v>
      </c>
      <c r="AH25" s="64">
        <v>0</v>
      </c>
      <c r="AI25" s="64">
        <v>0</v>
      </c>
      <c r="AJ25" s="64">
        <v>7798620.4989638412</v>
      </c>
      <c r="AK25" s="64">
        <v>9725868.7576821167</v>
      </c>
      <c r="AL25" s="64">
        <v>3496811.6598338219</v>
      </c>
      <c r="AM25" s="64">
        <v>2413594.8530553603</v>
      </c>
      <c r="AN25" s="65">
        <v>241359.48530553601</v>
      </c>
      <c r="AO25" s="66">
        <v>459693.27571292385</v>
      </c>
      <c r="AP25" s="128">
        <f>+N25-'Приложение №2'!E34</f>
        <v>0</v>
      </c>
      <c r="AQ25" s="23">
        <v>2233749.27</v>
      </c>
      <c r="AR25" s="25">
        <f t="shared" si="10"/>
        <v>471376.68000000005</v>
      </c>
      <c r="AS25" s="25">
        <f t="shared" si="11"/>
        <v>16636824.000000002</v>
      </c>
      <c r="AT25" s="127">
        <f t="shared" si="12"/>
        <v>-13269140.084563842</v>
      </c>
      <c r="AW25" s="63">
        <f t="shared" si="13"/>
        <v>5366313.5354361599</v>
      </c>
      <c r="AX25" s="64">
        <v>0</v>
      </c>
      <c r="AY25" s="64">
        <v>0</v>
      </c>
      <c r="AZ25" s="64">
        <v>0</v>
      </c>
      <c r="BA25" s="64">
        <v>0</v>
      </c>
      <c r="BB25" s="64">
        <v>0</v>
      </c>
      <c r="BC25" s="64"/>
      <c r="BD25" s="64"/>
      <c r="BE25" s="64">
        <v>0</v>
      </c>
      <c r="BF25" s="64">
        <v>0</v>
      </c>
      <c r="BG25" s="64">
        <v>5195773.5</v>
      </c>
      <c r="BH25" s="64"/>
      <c r="BI25" s="64"/>
      <c r="BJ25" s="64"/>
      <c r="BK25" s="65"/>
      <c r="BL25" s="66">
        <v>170540.03543616005</v>
      </c>
    </row>
    <row r="26" spans="1:64" x14ac:dyDescent="0.25">
      <c r="A26" s="122">
        <f t="shared" si="14"/>
        <v>9</v>
      </c>
      <c r="B26" s="62">
        <f t="shared" si="15"/>
        <v>9</v>
      </c>
      <c r="C26" s="62" t="s">
        <v>51</v>
      </c>
      <c r="D26" s="62" t="s">
        <v>995</v>
      </c>
      <c r="E26" s="123">
        <v>1985</v>
      </c>
      <c r="F26" s="123">
        <v>1985</v>
      </c>
      <c r="G26" s="123" t="s">
        <v>43</v>
      </c>
      <c r="H26" s="123">
        <v>4</v>
      </c>
      <c r="I26" s="123">
        <v>2</v>
      </c>
      <c r="J26" s="64">
        <v>1511.1</v>
      </c>
      <c r="K26" s="64">
        <v>1366.85</v>
      </c>
      <c r="L26" s="64">
        <v>0</v>
      </c>
      <c r="M26" s="124">
        <v>62</v>
      </c>
      <c r="N26" s="63">
        <f t="shared" si="5"/>
        <v>3697130.3492353396</v>
      </c>
      <c r="O26" s="64"/>
      <c r="P26" s="65"/>
      <c r="Q26" s="65"/>
      <c r="R26" s="65">
        <v>399040.08999999997</v>
      </c>
      <c r="S26" s="65">
        <f>+'Приложение №2'!E35-'Приложение №1'!R26-T26</f>
        <v>3206331.2592353397</v>
      </c>
      <c r="T26" s="64">
        <v>91759</v>
      </c>
      <c r="U26" s="65">
        <f t="shared" si="8"/>
        <v>2704.8544823757834</v>
      </c>
      <c r="V26" s="65">
        <f t="shared" si="8"/>
        <v>2704.8544823757834</v>
      </c>
      <c r="W26" s="126">
        <v>2022</v>
      </c>
      <c r="X26" s="127" t="e">
        <f>+#REF!-'[1]Приложение №1'!$P404</f>
        <v>#REF!</v>
      </c>
      <c r="Z26" s="63">
        <f t="shared" si="9"/>
        <v>7089248.6021132804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/>
      <c r="AG26" s="64">
        <v>0</v>
      </c>
      <c r="AH26" s="64">
        <v>0</v>
      </c>
      <c r="AI26" s="64">
        <v>0</v>
      </c>
      <c r="AJ26" s="64">
        <v>2448913.4700000002</v>
      </c>
      <c r="AK26" s="64">
        <v>3110879.85</v>
      </c>
      <c r="AL26" s="64">
        <v>1036083.9228779406</v>
      </c>
      <c r="AM26" s="64">
        <v>392917.04065692797</v>
      </c>
      <c r="AN26" s="65">
        <v>18562.626065692799</v>
      </c>
      <c r="AO26" s="66">
        <v>81891.69251271851</v>
      </c>
      <c r="AP26" s="128">
        <f>+N26-'Приложение №2'!E35</f>
        <v>0</v>
      </c>
      <c r="AQ26" s="23">
        <v>593500.14</v>
      </c>
      <c r="AR26" s="25">
        <f t="shared" si="10"/>
        <v>139418.69999999998</v>
      </c>
      <c r="AS26" s="25">
        <f t="shared" si="11"/>
        <v>4920660</v>
      </c>
      <c r="AT26" s="127">
        <f t="shared" si="12"/>
        <v>-1714328.7407646603</v>
      </c>
      <c r="AW26" s="63">
        <f t="shared" si="13"/>
        <v>3697130.3492353396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/>
      <c r="BD26" s="64"/>
      <c r="BE26" s="64">
        <v>0</v>
      </c>
      <c r="BF26" s="64">
        <v>0</v>
      </c>
      <c r="BG26" s="64">
        <v>2388753.41</v>
      </c>
      <c r="BH26" s="64"/>
      <c r="BI26" s="64">
        <v>815005.58</v>
      </c>
      <c r="BJ26" s="64">
        <v>392917.04065692797</v>
      </c>
      <c r="BK26" s="65">
        <v>18562.626065692799</v>
      </c>
      <c r="BL26" s="66">
        <v>81891.69251271851</v>
      </c>
    </row>
    <row r="27" spans="1:64" x14ac:dyDescent="0.25">
      <c r="A27" s="122">
        <f t="shared" si="14"/>
        <v>10</v>
      </c>
      <c r="B27" s="62">
        <f t="shared" si="15"/>
        <v>10</v>
      </c>
      <c r="C27" s="62" t="s">
        <v>82</v>
      </c>
      <c r="D27" s="62" t="s">
        <v>629</v>
      </c>
      <c r="E27" s="123">
        <v>1991</v>
      </c>
      <c r="F27" s="123">
        <v>1992</v>
      </c>
      <c r="G27" s="123" t="s">
        <v>43</v>
      </c>
      <c r="H27" s="123">
        <v>5</v>
      </c>
      <c r="I27" s="123">
        <v>6</v>
      </c>
      <c r="J27" s="64">
        <v>5213.3</v>
      </c>
      <c r="K27" s="64">
        <v>4504.3999999999996</v>
      </c>
      <c r="L27" s="64">
        <v>150</v>
      </c>
      <c r="M27" s="124">
        <v>215</v>
      </c>
      <c r="N27" s="63">
        <f t="shared" si="5"/>
        <v>3712081.5291589973</v>
      </c>
      <c r="O27" s="64"/>
      <c r="P27" s="65"/>
      <c r="Q27" s="65"/>
      <c r="R27" s="65">
        <v>458250.55</v>
      </c>
      <c r="S27" s="65">
        <f>+'Приложение №2'!E36-'Приложение №1'!R27</f>
        <v>3253830.9791589975</v>
      </c>
      <c r="T27" s="64">
        <f>+'Приложение №2'!E36-'Приложение №1'!P27-'Приложение №1'!Q27-'Приложение №1'!R27-'Приложение №1'!S27</f>
        <v>0</v>
      </c>
      <c r="U27" s="65">
        <f t="shared" si="8"/>
        <v>797.54243923147942</v>
      </c>
      <c r="V27" s="65">
        <f t="shared" si="8"/>
        <v>797.54243923147942</v>
      </c>
      <c r="W27" s="126">
        <v>2022</v>
      </c>
      <c r="X27" s="127" t="e">
        <f>+#REF!-'[1]Приложение №1'!$P1324</f>
        <v>#REF!</v>
      </c>
      <c r="Z27" s="63">
        <f t="shared" si="9"/>
        <v>22984871.147637237</v>
      </c>
      <c r="AA27" s="64">
        <v>8923099.0413838681</v>
      </c>
      <c r="AB27" s="64">
        <v>3819284.0558351283</v>
      </c>
      <c r="AC27" s="64">
        <v>3409399.7983082924</v>
      </c>
      <c r="AD27" s="64">
        <v>3601025.7724938672</v>
      </c>
      <c r="AE27" s="64">
        <v>0</v>
      </c>
      <c r="AF27" s="64"/>
      <c r="AG27" s="64">
        <v>370474.89045708859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2191683.422796627</v>
      </c>
      <c r="AN27" s="65">
        <v>229848.71147637241</v>
      </c>
      <c r="AO27" s="66">
        <v>440055.45488599484</v>
      </c>
      <c r="AP27" s="128">
        <f>+N27-'Приложение №2'!E36</f>
        <v>0</v>
      </c>
      <c r="AQ27" s="23">
        <f>2134189.71-1374751.67</f>
        <v>759438.04</v>
      </c>
      <c r="AR27" s="25">
        <f t="shared" si="10"/>
        <v>490048.8</v>
      </c>
      <c r="AS27" s="25">
        <f>+(K27*10+L27*20)*12*30-2680584.06</f>
        <v>14615255.939999999</v>
      </c>
      <c r="AT27" s="127">
        <f t="shared" si="12"/>
        <v>-11361424.960841002</v>
      </c>
      <c r="AW27" s="63">
        <f t="shared" si="13"/>
        <v>3712081.5291589973</v>
      </c>
      <c r="AX27" s="64"/>
      <c r="AY27" s="64"/>
      <c r="AZ27" s="64">
        <v>878254.94</v>
      </c>
      <c r="BA27" s="64"/>
      <c r="BB27" s="64">
        <v>0</v>
      </c>
      <c r="BC27" s="64"/>
      <c r="BD27" s="64"/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f>2191683.42279663-27761</f>
        <v>2163922.4227966298</v>
      </c>
      <c r="BK27" s="65">
        <v>229848.71147637241</v>
      </c>
      <c r="BL27" s="66">
        <v>440055.45488599484</v>
      </c>
    </row>
    <row r="28" spans="1:64" x14ac:dyDescent="0.25">
      <c r="A28" s="122">
        <f t="shared" si="14"/>
        <v>11</v>
      </c>
      <c r="B28" s="62">
        <f t="shared" si="15"/>
        <v>11</v>
      </c>
      <c r="C28" s="62" t="s">
        <v>82</v>
      </c>
      <c r="D28" s="62" t="s">
        <v>996</v>
      </c>
      <c r="E28" s="123">
        <v>1996</v>
      </c>
      <c r="F28" s="123">
        <v>1996</v>
      </c>
      <c r="G28" s="123" t="s">
        <v>43</v>
      </c>
      <c r="H28" s="123">
        <v>9</v>
      </c>
      <c r="I28" s="123">
        <v>2</v>
      </c>
      <c r="J28" s="64">
        <v>5868.8</v>
      </c>
      <c r="K28" s="64">
        <v>4891.1000000000004</v>
      </c>
      <c r="L28" s="64">
        <v>103.4</v>
      </c>
      <c r="M28" s="124">
        <v>176</v>
      </c>
      <c r="N28" s="63">
        <f t="shared" si="5"/>
        <v>6156349.6058218479</v>
      </c>
      <c r="O28" s="64"/>
      <c r="P28" s="65">
        <v>0</v>
      </c>
      <c r="Q28" s="65"/>
      <c r="R28" s="65">
        <v>2916099.9</v>
      </c>
      <c r="S28" s="65">
        <f>+'Приложение №2'!E37-'Приложение №1'!R28</f>
        <v>3240249.705821848</v>
      </c>
      <c r="T28" s="64">
        <f>+'Приложение №2'!E37-'Приложение №1'!P28-'Приложение №1'!Q28-'Приложение №1'!R28-'Приложение №1'!S28</f>
        <v>0</v>
      </c>
      <c r="U28" s="65">
        <f t="shared" si="8"/>
        <v>1232.6258095548799</v>
      </c>
      <c r="V28" s="65">
        <f t="shared" si="8"/>
        <v>1232.6258095548799</v>
      </c>
      <c r="W28" s="126">
        <v>2022</v>
      </c>
      <c r="X28" s="127" t="e">
        <f>+#REF!-'[1]Приложение №1'!$P1325</f>
        <v>#REF!</v>
      </c>
      <c r="Z28" s="63">
        <f t="shared" si="9"/>
        <v>26916272.679462254</v>
      </c>
      <c r="AA28" s="64">
        <v>11954408.568709729</v>
      </c>
      <c r="AB28" s="64">
        <v>4782903.5702124871</v>
      </c>
      <c r="AC28" s="64">
        <v>3532642.5089277923</v>
      </c>
      <c r="AD28" s="64">
        <v>2257520.5141524919</v>
      </c>
      <c r="AE28" s="64">
        <v>0</v>
      </c>
      <c r="AF28" s="64"/>
      <c r="AG28" s="64">
        <v>531117.68749178003</v>
      </c>
      <c r="AH28" s="64">
        <v>0</v>
      </c>
      <c r="AI28" s="64"/>
      <c r="AJ28" s="64">
        <v>0</v>
      </c>
      <c r="AK28" s="64">
        <v>0</v>
      </c>
      <c r="AL28" s="64">
        <v>0</v>
      </c>
      <c r="AM28" s="64">
        <v>2917548.1015033424</v>
      </c>
      <c r="AN28" s="65">
        <v>321479.91337035975</v>
      </c>
      <c r="AO28" s="66">
        <v>618651.81509427261</v>
      </c>
      <c r="AP28" s="128">
        <f>+N28-'Приложение №2'!E37</f>
        <v>0</v>
      </c>
      <c r="AQ28" s="23">
        <f>3041149.84-317048.16</f>
        <v>2724101.6799999997</v>
      </c>
      <c r="AR28" s="25">
        <f>+(K28*13.29+L28*22.52)*12*0.85</f>
        <v>686779.12739999988</v>
      </c>
      <c r="AS28" s="25">
        <f>+(K28*13.29+L28*22.52)*12*30-2665031.47</f>
        <v>21574231.849999998</v>
      </c>
      <c r="AT28" s="127">
        <f t="shared" si="12"/>
        <v>-18333982.144178148</v>
      </c>
      <c r="AW28" s="63">
        <f t="shared" si="13"/>
        <v>6156349.6058218479</v>
      </c>
      <c r="AX28" s="64">
        <v>2699032.56</v>
      </c>
      <c r="AY28" s="64">
        <v>2261633.31</v>
      </c>
      <c r="AZ28" s="64"/>
      <c r="BA28" s="64">
        <v>818058.15</v>
      </c>
      <c r="BB28" s="64">
        <v>0</v>
      </c>
      <c r="BC28" s="64"/>
      <c r="BD28" s="64"/>
      <c r="BE28" s="64">
        <v>0</v>
      </c>
      <c r="BF28" s="64"/>
      <c r="BG28" s="64">
        <v>0</v>
      </c>
      <c r="BH28" s="64">
        <v>0</v>
      </c>
      <c r="BI28" s="64">
        <v>0</v>
      </c>
      <c r="BJ28" s="64"/>
      <c r="BK28" s="65"/>
      <c r="BL28" s="66">
        <v>377625.58582184697</v>
      </c>
    </row>
    <row r="29" spans="1:64" x14ac:dyDescent="0.25">
      <c r="A29" s="122">
        <f t="shared" si="14"/>
        <v>12</v>
      </c>
      <c r="B29" s="62">
        <f t="shared" si="15"/>
        <v>12</v>
      </c>
      <c r="C29" s="62" t="s">
        <v>83</v>
      </c>
      <c r="D29" s="62" t="s">
        <v>997</v>
      </c>
      <c r="E29" s="123">
        <v>1986</v>
      </c>
      <c r="F29" s="123">
        <v>2016</v>
      </c>
      <c r="G29" s="123" t="s">
        <v>43</v>
      </c>
      <c r="H29" s="123">
        <v>9</v>
      </c>
      <c r="I29" s="123">
        <v>1</v>
      </c>
      <c r="J29" s="64">
        <v>3158.3</v>
      </c>
      <c r="K29" s="64">
        <v>2706.55</v>
      </c>
      <c r="L29" s="64">
        <v>0</v>
      </c>
      <c r="M29" s="124">
        <v>111</v>
      </c>
      <c r="N29" s="63">
        <f t="shared" ref="N29:N57" si="16">+P29+Q29+R29+S29+T29</f>
        <v>13036215.770000001</v>
      </c>
      <c r="O29" s="64"/>
      <c r="P29" s="69">
        <v>12411219.705962</v>
      </c>
      <c r="Q29" s="69"/>
      <c r="R29" s="69">
        <v>624996.06000000006</v>
      </c>
      <c r="S29" s="65"/>
      <c r="T29" s="64">
        <f>+'Приложение №2'!E38-'Приложение №1'!P29-'Приложение №1'!Q29-'Приложение №1'!R29-'Приложение №1'!S29</f>
        <v>4.0380009450018406E-3</v>
      </c>
      <c r="U29" s="65">
        <f t="shared" ref="U29:V40" si="17">$N29/($K29+$L29)</f>
        <v>4816.5434852487488</v>
      </c>
      <c r="V29" s="65">
        <f t="shared" si="17"/>
        <v>4816.5434852487488</v>
      </c>
      <c r="W29" s="126">
        <v>2022</v>
      </c>
      <c r="X29" s="127" t="e">
        <f>+#REF!-'[1]Приложение №1'!#REF!</f>
        <v>#REF!</v>
      </c>
      <c r="Z29" s="63">
        <f t="shared" ref="Z29:Z48" si="18">SUM(AA29:AO29)</f>
        <v>13982972.132639855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/>
      <c r="AG29" s="64">
        <v>0</v>
      </c>
      <c r="AH29" s="64">
        <v>0</v>
      </c>
      <c r="AI29" s="64">
        <v>2807713.831463424</v>
      </c>
      <c r="AJ29" s="64">
        <v>0</v>
      </c>
      <c r="AK29" s="64">
        <v>9402008.4996973816</v>
      </c>
      <c r="AL29" s="64">
        <v>0</v>
      </c>
      <c r="AM29" s="64">
        <v>1366418.1816375868</v>
      </c>
      <c r="AN29" s="65">
        <v>139829.72132639855</v>
      </c>
      <c r="AO29" s="66">
        <v>267001.89851506357</v>
      </c>
      <c r="AP29" s="128">
        <f>+N29-'Приложение №2'!E38</f>
        <v>0</v>
      </c>
      <c r="AR29" s="25">
        <f>+(K29*13.29+L29*22.52)*12*0.85</f>
        <v>366894.5049</v>
      </c>
      <c r="AT29" s="127"/>
      <c r="AW29" s="63">
        <f t="shared" si="13"/>
        <v>13036215.770000001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64"/>
      <c r="BD29" s="64"/>
      <c r="BE29" s="64">
        <v>0</v>
      </c>
      <c r="BF29" s="68">
        <v>2807713.83</v>
      </c>
      <c r="BG29" s="68">
        <v>0</v>
      </c>
      <c r="BH29" s="68">
        <v>9577950</v>
      </c>
      <c r="BI29" s="68">
        <v>0</v>
      </c>
      <c r="BJ29" s="68">
        <v>377498.73</v>
      </c>
      <c r="BK29" s="69">
        <v>8000</v>
      </c>
      <c r="BL29" s="70">
        <v>265053.21000000002</v>
      </c>
    </row>
    <row r="30" spans="1:64" x14ac:dyDescent="0.25">
      <c r="A30" s="122">
        <f t="shared" si="14"/>
        <v>13</v>
      </c>
      <c r="B30" s="62">
        <f t="shared" si="15"/>
        <v>13</v>
      </c>
      <c r="C30" s="62" t="s">
        <v>82</v>
      </c>
      <c r="D30" s="62" t="s">
        <v>998</v>
      </c>
      <c r="E30" s="123">
        <v>1990</v>
      </c>
      <c r="F30" s="123">
        <v>2017</v>
      </c>
      <c r="G30" s="123" t="s">
        <v>43</v>
      </c>
      <c r="H30" s="123">
        <v>10</v>
      </c>
      <c r="I30" s="123">
        <v>3</v>
      </c>
      <c r="J30" s="64">
        <v>10664.8</v>
      </c>
      <c r="K30" s="64">
        <v>8965.7000000000007</v>
      </c>
      <c r="L30" s="64">
        <v>241.2</v>
      </c>
      <c r="M30" s="124">
        <v>365</v>
      </c>
      <c r="N30" s="63">
        <f t="shared" si="16"/>
        <v>947792.52460360434</v>
      </c>
      <c r="O30" s="64"/>
      <c r="P30" s="65"/>
      <c r="Q30" s="65"/>
      <c r="R30" s="65">
        <v>529034.98</v>
      </c>
      <c r="S30" s="65">
        <f>+'Приложение №2'!E39-'Приложение №1'!P30-'Приложение №1'!Q30-'Приложение №1'!R30</f>
        <v>418757.54460360436</v>
      </c>
      <c r="T30" s="64">
        <f>+'Приложение №2'!E39-'Приложение №1'!P30-'Приложение №1'!Q30-'Приложение №1'!R30-'Приложение №1'!S30</f>
        <v>0</v>
      </c>
      <c r="U30" s="65">
        <f t="shared" si="17"/>
        <v>102.94371879824959</v>
      </c>
      <c r="V30" s="65">
        <f t="shared" si="17"/>
        <v>102.94371879824959</v>
      </c>
      <c r="W30" s="126">
        <v>2022</v>
      </c>
      <c r="X30" s="127" t="e">
        <f>+#REF!-'[1]Приложение №1'!$P919</f>
        <v>#REF!</v>
      </c>
      <c r="Z30" s="63">
        <f t="shared" si="18"/>
        <v>17451465.54755237</v>
      </c>
      <c r="AA30" s="64"/>
      <c r="AB30" s="64"/>
      <c r="AC30" s="64">
        <v>6509638.5673844106</v>
      </c>
      <c r="AD30" s="64">
        <v>4159957.4733218304</v>
      </c>
      <c r="AE30" s="64">
        <v>0</v>
      </c>
      <c r="AF30" s="64"/>
      <c r="AG30" s="64">
        <v>978696.30838074186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4391061.0735815065</v>
      </c>
      <c r="AN30" s="65">
        <v>482934.91690454783</v>
      </c>
      <c r="AO30" s="66">
        <v>929177.20797933068</v>
      </c>
      <c r="AP30" s="128">
        <f>+N30-'Приложение №2'!E39</f>
        <v>0</v>
      </c>
      <c r="AQ30" s="23">
        <v>6040448.1299999999</v>
      </c>
      <c r="AR30" s="25">
        <f>+(K30*13.29+L30*22.52)*12*0.85</f>
        <v>1270776.9653999999</v>
      </c>
      <c r="AS30" s="25">
        <f>+(K30*13.29+L30*22.52)*12*30-11155353.44</f>
        <v>33695598.280000001</v>
      </c>
      <c r="AT30" s="127">
        <f t="shared" si="12"/>
        <v>-33276840.735396396</v>
      </c>
      <c r="AW30" s="63">
        <f t="shared" si="13"/>
        <v>947792.52460360434</v>
      </c>
      <c r="AX30" s="64"/>
      <c r="AY30" s="64"/>
      <c r="AZ30" s="64"/>
      <c r="BA30" s="64">
        <v>856822.68</v>
      </c>
      <c r="BB30" s="64">
        <v>0</v>
      </c>
      <c r="BC30" s="64"/>
      <c r="BD30" s="64"/>
      <c r="BE30" s="64">
        <v>0</v>
      </c>
      <c r="BF30" s="64">
        <v>0</v>
      </c>
      <c r="BG30" s="64">
        <v>0</v>
      </c>
      <c r="BH30" s="64">
        <v>0</v>
      </c>
      <c r="BI30" s="64">
        <v>0</v>
      </c>
      <c r="BJ30" s="64"/>
      <c r="BK30" s="65"/>
      <c r="BL30" s="66">
        <v>90969.844603604302</v>
      </c>
    </row>
    <row r="31" spans="1:64" x14ac:dyDescent="0.25">
      <c r="A31" s="122">
        <f t="shared" si="14"/>
        <v>14</v>
      </c>
      <c r="B31" s="62">
        <f t="shared" si="15"/>
        <v>14</v>
      </c>
      <c r="C31" s="62" t="s">
        <v>82</v>
      </c>
      <c r="D31" s="62" t="s">
        <v>630</v>
      </c>
      <c r="E31" s="123">
        <v>1990</v>
      </c>
      <c r="F31" s="123">
        <v>2017</v>
      </c>
      <c r="G31" s="123" t="s">
        <v>43</v>
      </c>
      <c r="H31" s="123">
        <v>9</v>
      </c>
      <c r="I31" s="123">
        <v>1</v>
      </c>
      <c r="J31" s="64">
        <v>4531.3</v>
      </c>
      <c r="K31" s="64">
        <v>3818.4</v>
      </c>
      <c r="L31" s="64">
        <v>61.2</v>
      </c>
      <c r="M31" s="124">
        <v>144</v>
      </c>
      <c r="N31" s="63">
        <f t="shared" si="16"/>
        <v>3204810.5757265971</v>
      </c>
      <c r="O31" s="64"/>
      <c r="P31" s="65">
        <v>339282.04</v>
      </c>
      <c r="Q31" s="65"/>
      <c r="R31" s="65">
        <f>+'Приложение №2'!E40-'Приложение №1'!S31-P31</f>
        <v>120075.01572659711</v>
      </c>
      <c r="S31" s="65">
        <v>2745453.52</v>
      </c>
      <c r="T31" s="64">
        <f>+'Приложение №2'!E40-'Приложение №1'!P31-'Приложение №1'!Q31-'Приложение №1'!R31-'Приложение №1'!S31</f>
        <v>0</v>
      </c>
      <c r="U31" s="65">
        <f t="shared" si="17"/>
        <v>826.06726872012507</v>
      </c>
      <c r="V31" s="65">
        <f t="shared" si="17"/>
        <v>826.06726872012507</v>
      </c>
      <c r="W31" s="126">
        <v>2022</v>
      </c>
      <c r="X31" s="127" t="e">
        <f>+#REF!-'[1]Приложение №1'!$P921</f>
        <v>#REF!</v>
      </c>
      <c r="Z31" s="63">
        <f t="shared" si="18"/>
        <v>27882965.040892042</v>
      </c>
      <c r="AA31" s="64">
        <v>9323379.5626275707</v>
      </c>
      <c r="AB31" s="64">
        <v>3730241.0353664667</v>
      </c>
      <c r="AC31" s="64">
        <v>2755148.176549369</v>
      </c>
      <c r="AD31" s="64">
        <v>1760665.9922058834</v>
      </c>
      <c r="AE31" s="64">
        <v>0</v>
      </c>
      <c r="AF31" s="64"/>
      <c r="AG31" s="64">
        <v>414224.74097732303</v>
      </c>
      <c r="AH31" s="64">
        <v>0</v>
      </c>
      <c r="AI31" s="64">
        <v>0</v>
      </c>
      <c r="AJ31" s="64">
        <v>6482652.3339526588</v>
      </c>
      <c r="AK31" s="64">
        <v>0</v>
      </c>
      <c r="AL31" s="64">
        <v>0</v>
      </c>
      <c r="AM31" s="64">
        <v>2602794.861483254</v>
      </c>
      <c r="AN31" s="65">
        <v>278829.65040892042</v>
      </c>
      <c r="AO31" s="66">
        <v>535028.68732059724</v>
      </c>
      <c r="AP31" s="128">
        <f>+N31-'Приложение №2'!E40</f>
        <v>0</v>
      </c>
      <c r="AQ31" s="23">
        <f>2472188.7-'[2]Приложение №1'!$R$83</f>
        <v>1031818.0268000001</v>
      </c>
      <c r="AR31" s="25">
        <f>+(K31*13.29+L31*22.52)*12*0.85</f>
        <v>531672.55200000003</v>
      </c>
      <c r="AS31" s="25">
        <f>+(K31*13.29+L31*22.52)*12*30-'[2]Приложение №1'!$S$83</f>
        <v>18512253.773200002</v>
      </c>
      <c r="AT31" s="127">
        <f t="shared" si="12"/>
        <v>-15766800.253200002</v>
      </c>
      <c r="AW31" s="63">
        <f t="shared" si="13"/>
        <v>3204810.5757265971</v>
      </c>
      <c r="AX31" s="64"/>
      <c r="AY31" s="64">
        <v>1900545.16</v>
      </c>
      <c r="AZ31" s="64"/>
      <c r="BA31" s="64">
        <v>1184190.3999999999</v>
      </c>
      <c r="BB31" s="64">
        <v>0</v>
      </c>
      <c r="BC31" s="64"/>
      <c r="BD31" s="64"/>
      <c r="BE31" s="64">
        <v>0</v>
      </c>
      <c r="BF31" s="64">
        <v>0</v>
      </c>
      <c r="BG31" s="64"/>
      <c r="BH31" s="64">
        <v>0</v>
      </c>
      <c r="BI31" s="64">
        <v>0</v>
      </c>
      <c r="BJ31" s="64"/>
      <c r="BK31" s="65"/>
      <c r="BL31" s="66">
        <v>120075.0157265975</v>
      </c>
    </row>
    <row r="32" spans="1:64" x14ac:dyDescent="0.25">
      <c r="A32" s="122">
        <f t="shared" si="14"/>
        <v>15</v>
      </c>
      <c r="B32" s="62">
        <f t="shared" si="15"/>
        <v>15</v>
      </c>
      <c r="C32" s="62" t="s">
        <v>82</v>
      </c>
      <c r="D32" s="62" t="s">
        <v>999</v>
      </c>
      <c r="E32" s="123">
        <v>1988</v>
      </c>
      <c r="F32" s="123">
        <v>2016</v>
      </c>
      <c r="G32" s="123" t="s">
        <v>43</v>
      </c>
      <c r="H32" s="123">
        <v>5</v>
      </c>
      <c r="I32" s="123">
        <v>2</v>
      </c>
      <c r="J32" s="64">
        <v>4465.5</v>
      </c>
      <c r="K32" s="64">
        <v>2945.85</v>
      </c>
      <c r="L32" s="64">
        <v>451.6</v>
      </c>
      <c r="M32" s="124">
        <v>169</v>
      </c>
      <c r="N32" s="63">
        <f t="shared" si="16"/>
        <v>7091508.1283725407</v>
      </c>
      <c r="O32" s="64"/>
      <c r="P32" s="65"/>
      <c r="Q32" s="65"/>
      <c r="R32" s="65">
        <f>+AQ32+AR32-46238.97</f>
        <v>2137034.25</v>
      </c>
      <c r="S32" s="65">
        <v>3849733.41</v>
      </c>
      <c r="T32" s="64">
        <f>+'Приложение №2'!E41-'Приложение №1'!P32-'Приложение №1'!Q32-'Приложение №1'!R32-'Приложение №1'!S32</f>
        <v>1104740.4683725405</v>
      </c>
      <c r="U32" s="65">
        <f t="shared" si="17"/>
        <v>2087.3031621870937</v>
      </c>
      <c r="V32" s="65">
        <f t="shared" si="17"/>
        <v>2087.3031621870937</v>
      </c>
      <c r="W32" s="126">
        <v>2022</v>
      </c>
      <c r="X32" s="127" t="e">
        <f>+#REF!-'[1]Приложение №1'!$P927</f>
        <v>#REF!</v>
      </c>
      <c r="Z32" s="63">
        <f t="shared" si="18"/>
        <v>40635058.08237657</v>
      </c>
      <c r="AA32" s="64">
        <v>7511049.4806612218</v>
      </c>
      <c r="AB32" s="64">
        <v>3214895.5638655713</v>
      </c>
      <c r="AC32" s="64">
        <v>0</v>
      </c>
      <c r="AD32" s="64">
        <v>3031175.8989669341</v>
      </c>
      <c r="AE32" s="64">
        <v>0</v>
      </c>
      <c r="AF32" s="64"/>
      <c r="AG32" s="64">
        <v>311848.52041429107</v>
      </c>
      <c r="AH32" s="64">
        <v>0</v>
      </c>
      <c r="AI32" s="64">
        <v>0</v>
      </c>
      <c r="AJ32" s="64">
        <v>5678337.1610445483</v>
      </c>
      <c r="AK32" s="64">
        <v>15731938.21837358</v>
      </c>
      <c r="AL32" s="64">
        <v>0</v>
      </c>
      <c r="AM32" s="64">
        <v>3973603.431119387</v>
      </c>
      <c r="AN32" s="65">
        <v>406350.58082376578</v>
      </c>
      <c r="AO32" s="66">
        <v>775859.22710727528</v>
      </c>
      <c r="AP32" s="128">
        <f>+N32-'Приложение №2'!E41</f>
        <v>0</v>
      </c>
      <c r="AQ32" s="23">
        <v>1790670.12</v>
      </c>
      <c r="AR32" s="25">
        <f>+(K32*10+L32*20)*12*0.85</f>
        <v>392603.1</v>
      </c>
      <c r="AS32" s="25">
        <f>+(K32*10+L32*20)*12*30</f>
        <v>13856580</v>
      </c>
      <c r="AT32" s="127">
        <f t="shared" si="12"/>
        <v>-10006846.59</v>
      </c>
      <c r="AW32" s="63">
        <f t="shared" si="13"/>
        <v>7091508.1283725407</v>
      </c>
      <c r="AX32" s="64">
        <v>2005222.15</v>
      </c>
      <c r="AY32" s="64"/>
      <c r="AZ32" s="64">
        <v>0</v>
      </c>
      <c r="BA32" s="64"/>
      <c r="BB32" s="64">
        <v>0</v>
      </c>
      <c r="BC32" s="64"/>
      <c r="BD32" s="64"/>
      <c r="BE32" s="64">
        <v>0</v>
      </c>
      <c r="BF32" s="64">
        <v>0</v>
      </c>
      <c r="BG32" s="64">
        <v>4791041.3099999996</v>
      </c>
      <c r="BH32" s="64"/>
      <c r="BI32" s="64">
        <v>0</v>
      </c>
      <c r="BJ32" s="64"/>
      <c r="BK32" s="65"/>
      <c r="BL32" s="66">
        <v>295244.66837254167</v>
      </c>
    </row>
    <row r="33" spans="1:64" x14ac:dyDescent="0.25">
      <c r="A33" s="122">
        <f t="shared" si="14"/>
        <v>16</v>
      </c>
      <c r="B33" s="62">
        <f t="shared" si="15"/>
        <v>16</v>
      </c>
      <c r="C33" s="62" t="s">
        <v>83</v>
      </c>
      <c r="D33" s="62" t="s">
        <v>1000</v>
      </c>
      <c r="E33" s="123">
        <v>1985</v>
      </c>
      <c r="F33" s="123">
        <v>2011</v>
      </c>
      <c r="G33" s="123" t="s">
        <v>43</v>
      </c>
      <c r="H33" s="123">
        <v>5</v>
      </c>
      <c r="I33" s="123">
        <v>12</v>
      </c>
      <c r="J33" s="64">
        <v>12985.9</v>
      </c>
      <c r="K33" s="64">
        <v>10520.9</v>
      </c>
      <c r="L33" s="64">
        <v>299.10000000000002</v>
      </c>
      <c r="M33" s="124">
        <v>439</v>
      </c>
      <c r="N33" s="63">
        <f t="shared" si="16"/>
        <v>50879011.909999996</v>
      </c>
      <c r="O33" s="64"/>
      <c r="P33" s="69">
        <v>44003584.140000001</v>
      </c>
      <c r="Q33" s="69"/>
      <c r="R33" s="69">
        <v>6875427.7699999996</v>
      </c>
      <c r="S33" s="65"/>
      <c r="T33" s="64">
        <v>0</v>
      </c>
      <c r="U33" s="65">
        <f t="shared" si="17"/>
        <v>4702.3116367837338</v>
      </c>
      <c r="V33" s="65">
        <f t="shared" si="17"/>
        <v>4702.3116367837338</v>
      </c>
      <c r="W33" s="126">
        <v>2022</v>
      </c>
      <c r="X33" s="127" t="e">
        <f>+#REF!-'[1]Приложение №1'!#REF!</f>
        <v>#REF!</v>
      </c>
      <c r="Z33" s="63">
        <f t="shared" si="18"/>
        <v>68774286.83345294</v>
      </c>
      <c r="AA33" s="64">
        <v>0</v>
      </c>
      <c r="AB33" s="64">
        <v>0</v>
      </c>
      <c r="AC33" s="64">
        <v>0</v>
      </c>
      <c r="AD33" s="64">
        <v>8603725.4971600696</v>
      </c>
      <c r="AE33" s="64">
        <v>0</v>
      </c>
      <c r="AF33" s="64"/>
      <c r="AG33" s="64">
        <v>0</v>
      </c>
      <c r="AH33" s="64">
        <v>0</v>
      </c>
      <c r="AI33" s="64">
        <v>35269812.250870951</v>
      </c>
      <c r="AJ33" s="64">
        <v>16117459.310296344</v>
      </c>
      <c r="AK33" s="64">
        <v>0</v>
      </c>
      <c r="AL33" s="64">
        <v>0</v>
      </c>
      <c r="AM33" s="64">
        <v>6783665.3034309298</v>
      </c>
      <c r="AN33" s="65">
        <v>687742.86833452946</v>
      </c>
      <c r="AO33" s="66">
        <v>1311881.6033601121</v>
      </c>
      <c r="AP33" s="128">
        <f>+N33-'Приложение №2'!E42</f>
        <v>0</v>
      </c>
      <c r="AR33" s="25">
        <f>+(K33*10+L33*20)*12*0.85</f>
        <v>1134148.2</v>
      </c>
      <c r="AT33" s="127"/>
      <c r="AW33" s="63">
        <f t="shared" si="13"/>
        <v>50879011.910000004</v>
      </c>
      <c r="AX33" s="64">
        <v>0</v>
      </c>
      <c r="AY33" s="64">
        <v>0</v>
      </c>
      <c r="AZ33" s="64">
        <v>0</v>
      </c>
      <c r="BA33" s="68">
        <v>6678313.5999999996</v>
      </c>
      <c r="BB33" s="68">
        <v>0</v>
      </c>
      <c r="BC33" s="68"/>
      <c r="BD33" s="68"/>
      <c r="BE33" s="68">
        <v>0</v>
      </c>
      <c r="BF33" s="68">
        <v>25055410.800000001</v>
      </c>
      <c r="BG33" s="68">
        <v>16117459.310000001</v>
      </c>
      <c r="BH33" s="68">
        <v>0</v>
      </c>
      <c r="BI33" s="68">
        <v>0</v>
      </c>
      <c r="BJ33" s="68">
        <v>1734020.86</v>
      </c>
      <c r="BK33" s="69">
        <v>10000</v>
      </c>
      <c r="BL33" s="70">
        <v>1283807.3400000001</v>
      </c>
    </row>
    <row r="34" spans="1:64" x14ac:dyDescent="0.25">
      <c r="A34" s="122">
        <f t="shared" si="14"/>
        <v>17</v>
      </c>
      <c r="B34" s="62">
        <f t="shared" si="15"/>
        <v>17</v>
      </c>
      <c r="C34" s="62" t="s">
        <v>82</v>
      </c>
      <c r="D34" s="62" t="s">
        <v>631</v>
      </c>
      <c r="E34" s="123">
        <v>1981</v>
      </c>
      <c r="F34" s="123">
        <v>2016</v>
      </c>
      <c r="G34" s="123" t="s">
        <v>43</v>
      </c>
      <c r="H34" s="123">
        <v>4</v>
      </c>
      <c r="I34" s="123">
        <v>3</v>
      </c>
      <c r="J34" s="64">
        <v>3910.2</v>
      </c>
      <c r="K34" s="64">
        <v>2017.9</v>
      </c>
      <c r="L34" s="64">
        <v>997.9</v>
      </c>
      <c r="M34" s="124">
        <v>113</v>
      </c>
      <c r="N34" s="63">
        <f t="shared" si="16"/>
        <v>10558217.996456141</v>
      </c>
      <c r="O34" s="64"/>
      <c r="P34" s="65"/>
      <c r="Q34" s="65"/>
      <c r="R34" s="65">
        <f>+AQ34+AR34-557135.78</f>
        <v>806677.09999999986</v>
      </c>
      <c r="S34" s="65">
        <f>+'Приложение №2'!E43-'Приложение №1'!P34-'Приложение №1'!Q34-'Приложение №1'!R34</f>
        <v>9751540.896456141</v>
      </c>
      <c r="T34" s="64">
        <f>+'Приложение №2'!E43-'Приложение №1'!P34-'Приложение №1'!Q34-'Приложение №1'!R34-'Приложение №1'!S34</f>
        <v>0</v>
      </c>
      <c r="U34" s="65">
        <f t="shared" si="17"/>
        <v>3500.9675696187214</v>
      </c>
      <c r="V34" s="65">
        <f t="shared" si="17"/>
        <v>3500.9675696187214</v>
      </c>
      <c r="W34" s="126">
        <v>2022</v>
      </c>
      <c r="X34" s="127" t="e">
        <f>+#REF!-'[1]Приложение №1'!$P1338</f>
        <v>#REF!</v>
      </c>
      <c r="Z34" s="63">
        <f t="shared" si="18"/>
        <v>33549604.466355495</v>
      </c>
      <c r="AA34" s="64">
        <v>9163753.0558547936</v>
      </c>
      <c r="AB34" s="64">
        <v>4716823.2</v>
      </c>
      <c r="AC34" s="64">
        <v>2695930.7316036122</v>
      </c>
      <c r="AD34" s="64">
        <v>0</v>
      </c>
      <c r="AE34" s="64">
        <v>0</v>
      </c>
      <c r="AF34" s="64"/>
      <c r="AG34" s="64">
        <v>295975.88879684091</v>
      </c>
      <c r="AH34" s="64">
        <v>0</v>
      </c>
      <c r="AI34" s="64">
        <v>13238455.132672109</v>
      </c>
      <c r="AJ34" s="64">
        <v>0</v>
      </c>
      <c r="AK34" s="64">
        <v>0</v>
      </c>
      <c r="AL34" s="64">
        <v>0</v>
      </c>
      <c r="AM34" s="64">
        <v>2552926.0485136751</v>
      </c>
      <c r="AN34" s="65">
        <v>295470.26754077495</v>
      </c>
      <c r="AO34" s="66">
        <v>590270.14137369313</v>
      </c>
      <c r="AP34" s="128">
        <f>+N34-'Приложение №2'!E43</f>
        <v>0</v>
      </c>
      <c r="AQ34" s="23">
        <v>954415.48</v>
      </c>
      <c r="AR34" s="25">
        <f>+(K34*10+L34*20)*12*0.85</f>
        <v>409397.39999999997</v>
      </c>
      <c r="AS34" s="25">
        <f>+(K34*10+L34*20)*12*30</f>
        <v>14449320</v>
      </c>
      <c r="AT34" s="127">
        <f t="shared" si="12"/>
        <v>-4697779.103543859</v>
      </c>
      <c r="AW34" s="63">
        <f t="shared" si="13"/>
        <v>10558217.996456141</v>
      </c>
      <c r="AX34" s="64"/>
      <c r="AY34" s="64">
        <v>4716823.2</v>
      </c>
      <c r="AZ34" s="64"/>
      <c r="BA34" s="64">
        <v>0</v>
      </c>
      <c r="BB34" s="64">
        <v>0</v>
      </c>
      <c r="BC34" s="64"/>
      <c r="BD34" s="64"/>
      <c r="BE34" s="64">
        <v>0</v>
      </c>
      <c r="BF34" s="64">
        <v>5310079.2</v>
      </c>
      <c r="BG34" s="64">
        <v>0</v>
      </c>
      <c r="BH34" s="64">
        <v>0</v>
      </c>
      <c r="BI34" s="64">
        <v>0</v>
      </c>
      <c r="BJ34" s="64"/>
      <c r="BK34" s="65"/>
      <c r="BL34" s="66">
        <v>531315.59645614028</v>
      </c>
    </row>
    <row r="35" spans="1:64" x14ac:dyDescent="0.25">
      <c r="A35" s="122">
        <f t="shared" si="14"/>
        <v>18</v>
      </c>
      <c r="B35" s="62">
        <f t="shared" si="15"/>
        <v>18</v>
      </c>
      <c r="C35" s="62" t="s">
        <v>82</v>
      </c>
      <c r="D35" s="62" t="s">
        <v>632</v>
      </c>
      <c r="E35" s="123">
        <v>1990</v>
      </c>
      <c r="F35" s="123">
        <v>2017</v>
      </c>
      <c r="G35" s="123" t="s">
        <v>43</v>
      </c>
      <c r="H35" s="123">
        <v>10</v>
      </c>
      <c r="I35" s="123">
        <v>3</v>
      </c>
      <c r="J35" s="64">
        <v>9593.2999999999993</v>
      </c>
      <c r="K35" s="64">
        <v>8146.5</v>
      </c>
      <c r="L35" s="64">
        <v>251.7</v>
      </c>
      <c r="M35" s="124">
        <v>290</v>
      </c>
      <c r="N35" s="63">
        <f t="shared" si="16"/>
        <v>11881010.632439215</v>
      </c>
      <c r="O35" s="64"/>
      <c r="P35" s="65">
        <v>4826750.29</v>
      </c>
      <c r="Q35" s="65"/>
      <c r="R35" s="65">
        <f>+'Приложение №2'!E44-'Приложение №1'!S35-P35</f>
        <v>554751.74243921507</v>
      </c>
      <c r="S35" s="65">
        <v>6499508.5999999996</v>
      </c>
      <c r="T35" s="64">
        <f>+'Приложение №2'!E44-'Приложение №1'!P35-'Приложение №1'!Q35-'Приложение №1'!R35-'Приложение №1'!S35</f>
        <v>0</v>
      </c>
      <c r="U35" s="65">
        <f t="shared" si="17"/>
        <v>1414.7091796384004</v>
      </c>
      <c r="V35" s="65">
        <f t="shared" si="17"/>
        <v>1414.7091796384004</v>
      </c>
      <c r="W35" s="126">
        <v>2022</v>
      </c>
      <c r="X35" s="127" t="e">
        <f>+#REF!-'[1]Приложение №1'!$P943</f>
        <v>#REF!</v>
      </c>
      <c r="Z35" s="63">
        <f t="shared" si="18"/>
        <v>59075280.940424494</v>
      </c>
      <c r="AA35" s="64">
        <v>19753324.876629226</v>
      </c>
      <c r="AB35" s="64">
        <v>7903213.9091590643</v>
      </c>
      <c r="AC35" s="64">
        <v>5837297.1570079876</v>
      </c>
      <c r="AD35" s="64">
        <v>3730300.4891794757</v>
      </c>
      <c r="AE35" s="64">
        <v>0</v>
      </c>
      <c r="AF35" s="64"/>
      <c r="AG35" s="64">
        <v>877612.65381291229</v>
      </c>
      <c r="AH35" s="64">
        <v>0</v>
      </c>
      <c r="AI35" s="64">
        <v>0</v>
      </c>
      <c r="AJ35" s="64">
        <v>13734712.477877133</v>
      </c>
      <c r="AK35" s="64">
        <v>0</v>
      </c>
      <c r="AL35" s="64">
        <v>0</v>
      </c>
      <c r="AM35" s="64">
        <v>5514508.1395367021</v>
      </c>
      <c r="AN35" s="65">
        <v>590752.809404245</v>
      </c>
      <c r="AO35" s="66">
        <v>1133558.4278177479</v>
      </c>
      <c r="AP35" s="128">
        <f>+N35-'Приложение №2'!E44</f>
        <v>0</v>
      </c>
      <c r="AQ35" s="23">
        <v>5009993.34</v>
      </c>
      <c r="AR35" s="25">
        <f t="shared" ref="AR35:AR41" si="19">+(K35*13.29+L35*22.52)*12*0.85</f>
        <v>1162139.7437999998</v>
      </c>
      <c r="AS35" s="25">
        <f t="shared" ref="AS35:AS40" si="20">+(K35*13.29+L35*22.52)*12*30</f>
        <v>41016696.839999996</v>
      </c>
      <c r="AT35" s="127">
        <f t="shared" si="12"/>
        <v>-34517188.239999995</v>
      </c>
      <c r="AW35" s="63">
        <f t="shared" si="13"/>
        <v>11881010.632439215</v>
      </c>
      <c r="AX35" s="64"/>
      <c r="AY35" s="64">
        <v>4815586.08</v>
      </c>
      <c r="AZ35" s="64"/>
      <c r="BA35" s="64">
        <v>2345570.7400000002</v>
      </c>
      <c r="BB35" s="64">
        <v>0</v>
      </c>
      <c r="BC35" s="64"/>
      <c r="BD35" s="64"/>
      <c r="BE35" s="64">
        <v>0</v>
      </c>
      <c r="BF35" s="64">
        <v>0</v>
      </c>
      <c r="BG35" s="64">
        <v>4165102.0700000003</v>
      </c>
      <c r="BH35" s="64">
        <v>0</v>
      </c>
      <c r="BI35" s="64">
        <v>0</v>
      </c>
      <c r="BJ35" s="64"/>
      <c r="BK35" s="65"/>
      <c r="BL35" s="66">
        <v>554751.74243921472</v>
      </c>
    </row>
    <row r="36" spans="1:64" x14ac:dyDescent="0.25">
      <c r="A36" s="122">
        <f t="shared" si="14"/>
        <v>19</v>
      </c>
      <c r="B36" s="62">
        <f t="shared" si="15"/>
        <v>19</v>
      </c>
      <c r="C36" s="62" t="s">
        <v>82</v>
      </c>
      <c r="D36" s="62" t="s">
        <v>1001</v>
      </c>
      <c r="E36" s="123">
        <v>1990</v>
      </c>
      <c r="F36" s="123">
        <v>2017</v>
      </c>
      <c r="G36" s="123" t="s">
        <v>43</v>
      </c>
      <c r="H36" s="123">
        <v>9</v>
      </c>
      <c r="I36" s="123">
        <v>2</v>
      </c>
      <c r="J36" s="64">
        <v>9044.7000000000007</v>
      </c>
      <c r="K36" s="64">
        <v>7731.7</v>
      </c>
      <c r="L36" s="64">
        <v>0</v>
      </c>
      <c r="M36" s="124">
        <v>294</v>
      </c>
      <c r="N36" s="63">
        <f t="shared" si="16"/>
        <v>13275635.754342195</v>
      </c>
      <c r="O36" s="64"/>
      <c r="P36" s="65">
        <f>4393109.2-[3]Лист1!$I$8</f>
        <v>0</v>
      </c>
      <c r="Q36" s="65"/>
      <c r="R36" s="65">
        <f>+'Приложение №2'!E45-'Приложение №1'!S36-P36</f>
        <v>9626752.0343421958</v>
      </c>
      <c r="S36" s="65">
        <v>3648883.7199999997</v>
      </c>
      <c r="T36" s="64">
        <f>+'Приложение №2'!E45-'Приложение №1'!P36-'Приложение №1'!Q36-'Приложение №1'!R36-'Приложение №1'!S36</f>
        <v>0</v>
      </c>
      <c r="U36" s="65">
        <f t="shared" si="17"/>
        <v>1717.0396878231431</v>
      </c>
      <c r="V36" s="65">
        <f t="shared" si="17"/>
        <v>1717.0396878231431</v>
      </c>
      <c r="W36" s="126">
        <v>2022</v>
      </c>
      <c r="X36" s="127" t="e">
        <f>+#REF!-'[1]Приложение №1'!$P944</f>
        <v>#REF!</v>
      </c>
      <c r="Z36" s="63">
        <f t="shared" si="18"/>
        <v>55666319.910854891</v>
      </c>
      <c r="AA36" s="64">
        <v>18613451.927455012</v>
      </c>
      <c r="AB36" s="64">
        <v>7447156.0149639342</v>
      </c>
      <c r="AC36" s="64">
        <v>5500453.7563591562</v>
      </c>
      <c r="AD36" s="64">
        <v>3515042.1138698198</v>
      </c>
      <c r="AE36" s="64">
        <v>0</v>
      </c>
      <c r="AF36" s="64"/>
      <c r="AG36" s="64">
        <v>826969.68964449025</v>
      </c>
      <c r="AH36" s="64">
        <v>0</v>
      </c>
      <c r="AI36" s="64">
        <v>0</v>
      </c>
      <c r="AJ36" s="64">
        <v>12942145.792724269</v>
      </c>
      <c r="AK36" s="64">
        <v>0</v>
      </c>
      <c r="AL36" s="64">
        <v>0</v>
      </c>
      <c r="AM36" s="64">
        <v>5196291.3990376946</v>
      </c>
      <c r="AN36" s="65">
        <v>556663.19910854893</v>
      </c>
      <c r="AO36" s="66">
        <v>1068146.0176919652</v>
      </c>
      <c r="AP36" s="128">
        <f>+N36-'Приложение №2'!E45</f>
        <v>0</v>
      </c>
      <c r="AQ36" s="23">
        <v>4614966.51</v>
      </c>
      <c r="AR36" s="25">
        <f t="shared" si="19"/>
        <v>1048093.7885999999</v>
      </c>
      <c r="AS36" s="25">
        <f t="shared" si="20"/>
        <v>36991545.479999997</v>
      </c>
      <c r="AT36" s="127">
        <f t="shared" si="12"/>
        <v>-33342661.759999998</v>
      </c>
      <c r="AW36" s="63">
        <f t="shared" si="13"/>
        <v>13275635.754342195</v>
      </c>
      <c r="AX36" s="64">
        <v>5601164.7400000002</v>
      </c>
      <c r="AY36" s="64">
        <v>4132221.15</v>
      </c>
      <c r="AZ36" s="64"/>
      <c r="BA36" s="64">
        <v>2594387.63</v>
      </c>
      <c r="BB36" s="64">
        <v>0</v>
      </c>
      <c r="BC36" s="64"/>
      <c r="BD36" s="64"/>
      <c r="BE36" s="64">
        <v>0</v>
      </c>
      <c r="BF36" s="64">
        <v>0</v>
      </c>
      <c r="BG36" s="64"/>
      <c r="BH36" s="64">
        <v>0</v>
      </c>
      <c r="BI36" s="64">
        <v>0</v>
      </c>
      <c r="BJ36" s="64"/>
      <c r="BK36" s="65"/>
      <c r="BL36" s="66">
        <v>947862.23434219416</v>
      </c>
    </row>
    <row r="37" spans="1:64" x14ac:dyDescent="0.25">
      <c r="A37" s="122">
        <f t="shared" si="14"/>
        <v>20</v>
      </c>
      <c r="B37" s="62">
        <f t="shared" si="15"/>
        <v>20</v>
      </c>
      <c r="C37" s="62" t="s">
        <v>82</v>
      </c>
      <c r="D37" s="62" t="s">
        <v>1002</v>
      </c>
      <c r="E37" s="123">
        <v>1990</v>
      </c>
      <c r="F37" s="123">
        <v>2017</v>
      </c>
      <c r="G37" s="123" t="s">
        <v>43</v>
      </c>
      <c r="H37" s="123">
        <v>9</v>
      </c>
      <c r="I37" s="123">
        <v>1</v>
      </c>
      <c r="J37" s="64">
        <v>4527.8</v>
      </c>
      <c r="K37" s="64">
        <v>3876.4</v>
      </c>
      <c r="L37" s="64">
        <v>0</v>
      </c>
      <c r="M37" s="124">
        <v>153</v>
      </c>
      <c r="N37" s="63">
        <f t="shared" si="16"/>
        <v>5240799.8242184632</v>
      </c>
      <c r="O37" s="64"/>
      <c r="P37" s="65">
        <v>54608.390000000014</v>
      </c>
      <c r="Q37" s="65"/>
      <c r="R37" s="65">
        <f>+'Приложение №2'!E46-'Приложение №1'!P37-'Приложение №1'!S37</f>
        <v>1459981.2542184633</v>
      </c>
      <c r="S37" s="65">
        <v>3726210.18</v>
      </c>
      <c r="T37" s="64">
        <f>+'Приложение №2'!E46-'Приложение №1'!P37-'Приложение №1'!Q37-'Приложение №1'!R37-'Приложение №1'!S37</f>
        <v>0</v>
      </c>
      <c r="U37" s="65">
        <f t="shared" si="17"/>
        <v>1351.9760149155049</v>
      </c>
      <c r="V37" s="65">
        <f t="shared" si="17"/>
        <v>1351.9760149155049</v>
      </c>
      <c r="W37" s="126">
        <v>2022</v>
      </c>
      <c r="X37" s="127" t="e">
        <f>+#REF!-'[1]Приложение №1'!$P945</f>
        <v>#REF!</v>
      </c>
      <c r="Z37" s="63">
        <f t="shared" si="18"/>
        <v>27786937.969636556</v>
      </c>
      <c r="AA37" s="64">
        <v>9291270.4654677343</v>
      </c>
      <c r="AB37" s="64">
        <v>3717394.3341215332</v>
      </c>
      <c r="AC37" s="64">
        <v>2745659.6300522191</v>
      </c>
      <c r="AD37" s="64">
        <v>1754602.3759999776</v>
      </c>
      <c r="AE37" s="64">
        <v>0</v>
      </c>
      <c r="AF37" s="64"/>
      <c r="AG37" s="64">
        <v>412798.17860638152</v>
      </c>
      <c r="AH37" s="64">
        <v>0</v>
      </c>
      <c r="AI37" s="64">
        <v>0</v>
      </c>
      <c r="AJ37" s="64">
        <v>6460326.5118356757</v>
      </c>
      <c r="AK37" s="64">
        <v>0</v>
      </c>
      <c r="AL37" s="64">
        <v>0</v>
      </c>
      <c r="AM37" s="64">
        <v>2593831.0096382117</v>
      </c>
      <c r="AN37" s="65">
        <v>277869.37969636562</v>
      </c>
      <c r="AO37" s="66">
        <v>533186.08421846246</v>
      </c>
      <c r="AP37" s="128">
        <f>+N37-'Приложение №2'!E46</f>
        <v>0</v>
      </c>
      <c r="AQ37" s="23">
        <v>2413836.61</v>
      </c>
      <c r="AR37" s="25">
        <f t="shared" si="19"/>
        <v>525477.03119999997</v>
      </c>
      <c r="AS37" s="25">
        <f t="shared" si="20"/>
        <v>18546248.16</v>
      </c>
      <c r="AT37" s="127">
        <f t="shared" si="12"/>
        <v>-14820037.98</v>
      </c>
      <c r="AW37" s="63">
        <f t="shared" si="13"/>
        <v>5240799.8242184632</v>
      </c>
      <c r="AX37" s="64"/>
      <c r="AY37" s="64">
        <v>1792691.85</v>
      </c>
      <c r="AZ37" s="64"/>
      <c r="BA37" s="64">
        <v>1124322.94</v>
      </c>
      <c r="BB37" s="64">
        <v>0</v>
      </c>
      <c r="BC37" s="64"/>
      <c r="BD37" s="64"/>
      <c r="BE37" s="64">
        <v>0</v>
      </c>
      <c r="BF37" s="64">
        <v>0</v>
      </c>
      <c r="BG37" s="64">
        <v>1790598.95</v>
      </c>
      <c r="BH37" s="64">
        <v>0</v>
      </c>
      <c r="BI37" s="64">
        <v>0</v>
      </c>
      <c r="BJ37" s="64"/>
      <c r="BK37" s="65"/>
      <c r="BL37" s="66">
        <v>533186.08421846246</v>
      </c>
    </row>
    <row r="38" spans="1:64" x14ac:dyDescent="0.25">
      <c r="A38" s="122">
        <f t="shared" si="14"/>
        <v>21</v>
      </c>
      <c r="B38" s="62">
        <f t="shared" si="15"/>
        <v>21</v>
      </c>
      <c r="C38" s="62" t="s">
        <v>82</v>
      </c>
      <c r="D38" s="62" t="s">
        <v>1003</v>
      </c>
      <c r="E38" s="123">
        <v>1990</v>
      </c>
      <c r="F38" s="123">
        <v>2017</v>
      </c>
      <c r="G38" s="123" t="s">
        <v>43</v>
      </c>
      <c r="H38" s="123">
        <v>10</v>
      </c>
      <c r="I38" s="123">
        <v>1</v>
      </c>
      <c r="J38" s="64">
        <v>3578</v>
      </c>
      <c r="K38" s="64">
        <v>3065.8</v>
      </c>
      <c r="L38" s="64">
        <v>0</v>
      </c>
      <c r="M38" s="124">
        <v>111</v>
      </c>
      <c r="N38" s="63">
        <f t="shared" si="16"/>
        <v>1578467.25</v>
      </c>
      <c r="O38" s="64"/>
      <c r="P38" s="65"/>
      <c r="Q38" s="65"/>
      <c r="R38" s="65">
        <f>+'Приложение №2'!E47-'Приложение №1'!S38-P38</f>
        <v>73156.360000000102</v>
      </c>
      <c r="S38" s="65">
        <v>1505310.89</v>
      </c>
      <c r="T38" s="64">
        <f>+'Приложение №2'!E47-'Приложение №1'!P38-'Приложение №1'!Q38-'Приложение №1'!R38-'Приложение №1'!S38</f>
        <v>0</v>
      </c>
      <c r="U38" s="65">
        <f t="shared" si="17"/>
        <v>514.86308630699978</v>
      </c>
      <c r="V38" s="65">
        <f t="shared" si="17"/>
        <v>514.86308630699978</v>
      </c>
      <c r="W38" s="126">
        <v>2022</v>
      </c>
      <c r="X38" s="127" t="e">
        <f>+#REF!-'[1]Приложение №1'!$P946</f>
        <v>#REF!</v>
      </c>
      <c r="Z38" s="63">
        <f t="shared" si="18"/>
        <v>16117442.631482774</v>
      </c>
      <c r="AA38" s="64">
        <v>7351785.1489623599</v>
      </c>
      <c r="AB38" s="64">
        <v>2941415.2305656415</v>
      </c>
      <c r="AC38" s="64">
        <v>2172523.0976049546</v>
      </c>
      <c r="AD38" s="64">
        <v>1388341.8568163847</v>
      </c>
      <c r="AE38" s="64">
        <v>0</v>
      </c>
      <c r="AF38" s="64"/>
      <c r="AG38" s="64">
        <v>326629.55300638021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1465470.2417960668</v>
      </c>
      <c r="AN38" s="65">
        <v>161174.42631482772</v>
      </c>
      <c r="AO38" s="66">
        <v>310103.07641615823</v>
      </c>
      <c r="AP38" s="128">
        <f>+N38-'Приложение №2'!E47</f>
        <v>0</v>
      </c>
      <c r="AQ38" s="23">
        <v>2001885.98</v>
      </c>
      <c r="AR38" s="25">
        <f t="shared" si="19"/>
        <v>415593.71639999998</v>
      </c>
      <c r="AS38" s="25">
        <f t="shared" si="20"/>
        <v>14668013.52</v>
      </c>
      <c r="AT38" s="127">
        <f t="shared" si="12"/>
        <v>-13162702.629999999</v>
      </c>
      <c r="AW38" s="63">
        <f t="shared" si="13"/>
        <v>1569633.6837197063</v>
      </c>
      <c r="AX38" s="64"/>
      <c r="AY38" s="64">
        <v>991956.22</v>
      </c>
      <c r="AZ38" s="64"/>
      <c r="BA38" s="64">
        <v>513354.67</v>
      </c>
      <c r="BB38" s="64">
        <v>0</v>
      </c>
      <c r="BC38" s="64"/>
      <c r="BD38" s="64"/>
      <c r="BE38" s="64">
        <v>0</v>
      </c>
      <c r="BF38" s="64">
        <v>0</v>
      </c>
      <c r="BG38" s="64">
        <v>0</v>
      </c>
      <c r="BH38" s="64">
        <v>0</v>
      </c>
      <c r="BI38" s="64">
        <v>0</v>
      </c>
      <c r="BJ38" s="64"/>
      <c r="BK38" s="65"/>
      <c r="BL38" s="66">
        <v>64322.793719706453</v>
      </c>
    </row>
    <row r="39" spans="1:64" x14ac:dyDescent="0.25">
      <c r="A39" s="122">
        <f t="shared" si="14"/>
        <v>22</v>
      </c>
      <c r="B39" s="62">
        <f t="shared" si="15"/>
        <v>22</v>
      </c>
      <c r="C39" s="62" t="s">
        <v>82</v>
      </c>
      <c r="D39" s="62" t="s">
        <v>1004</v>
      </c>
      <c r="E39" s="123">
        <v>1990</v>
      </c>
      <c r="F39" s="123">
        <v>2017</v>
      </c>
      <c r="G39" s="123" t="s">
        <v>43</v>
      </c>
      <c r="H39" s="123">
        <v>10</v>
      </c>
      <c r="I39" s="123">
        <v>1</v>
      </c>
      <c r="J39" s="64">
        <v>3562.9</v>
      </c>
      <c r="K39" s="64">
        <v>3045.6</v>
      </c>
      <c r="L39" s="64">
        <v>0</v>
      </c>
      <c r="M39" s="124">
        <v>121</v>
      </c>
      <c r="N39" s="63">
        <f t="shared" si="16"/>
        <v>6565896.2326294025</v>
      </c>
      <c r="O39" s="64"/>
      <c r="P39" s="65"/>
      <c r="Q39" s="65"/>
      <c r="R39" s="65">
        <f>+'Приложение №2'!E48-'Приложение №1'!S39</f>
        <v>2146649.1226294022</v>
      </c>
      <c r="S39" s="65">
        <v>4419247.1100000003</v>
      </c>
      <c r="T39" s="64">
        <f>+'Приложение №2'!E48-'Приложение №1'!P39-'Приложение №1'!Q39-'Приложение №1'!R39-'Приложение №1'!S39</f>
        <v>0</v>
      </c>
      <c r="U39" s="65">
        <f t="shared" si="17"/>
        <v>2155.8629605428823</v>
      </c>
      <c r="V39" s="65">
        <f t="shared" si="17"/>
        <v>2155.8629605428823</v>
      </c>
      <c r="W39" s="126">
        <v>2022</v>
      </c>
      <c r="X39" s="127" t="e">
        <f>+#REF!-'[1]Приложение №1'!$P947</f>
        <v>#REF!</v>
      </c>
      <c r="Z39" s="63">
        <f t="shared" si="18"/>
        <v>21832542.931861956</v>
      </c>
      <c r="AA39" s="64">
        <v>7300266.8214297863</v>
      </c>
      <c r="AB39" s="64">
        <v>2920802.9860308608</v>
      </c>
      <c r="AC39" s="64">
        <v>2157298.9371804232</v>
      </c>
      <c r="AD39" s="64">
        <v>1378612.9203666104</v>
      </c>
      <c r="AE39" s="64">
        <v>0</v>
      </c>
      <c r="AF39" s="64"/>
      <c r="AG39" s="64">
        <v>324340.66562016815</v>
      </c>
      <c r="AH39" s="64">
        <v>0</v>
      </c>
      <c r="AI39" s="64">
        <v>0</v>
      </c>
      <c r="AJ39" s="64">
        <v>5075958.9299699729</v>
      </c>
      <c r="AK39" s="64">
        <v>0</v>
      </c>
      <c r="AL39" s="64">
        <v>0</v>
      </c>
      <c r="AM39" s="64">
        <v>2038005.3008288266</v>
      </c>
      <c r="AN39" s="65">
        <v>218325.4293186196</v>
      </c>
      <c r="AO39" s="66">
        <v>418930.94111669064</v>
      </c>
      <c r="AP39" s="128">
        <f>+N39-'Приложение №2'!E48</f>
        <v>0</v>
      </c>
      <c r="AQ39" s="23">
        <v>1845490.3</v>
      </c>
      <c r="AR39" s="25">
        <f t="shared" si="19"/>
        <v>412855.44479999994</v>
      </c>
      <c r="AS39" s="25">
        <f t="shared" si="20"/>
        <v>14571368.639999999</v>
      </c>
      <c r="AT39" s="127">
        <f t="shared" si="12"/>
        <v>-10152121.529999997</v>
      </c>
      <c r="AW39" s="63">
        <f t="shared" si="13"/>
        <v>6565896.2326294025</v>
      </c>
      <c r="AX39" s="64">
        <v>2562057.4900000002</v>
      </c>
      <c r="AY39" s="64">
        <v>1395411.2</v>
      </c>
      <c r="AZ39" s="64"/>
      <c r="BA39" s="64">
        <v>767119.01</v>
      </c>
      <c r="BB39" s="64">
        <v>0</v>
      </c>
      <c r="BC39" s="64"/>
      <c r="BD39" s="64"/>
      <c r="BE39" s="64">
        <v>0</v>
      </c>
      <c r="BF39" s="64">
        <v>0</v>
      </c>
      <c r="BG39" s="64">
        <v>1469553.35</v>
      </c>
      <c r="BH39" s="64">
        <v>0</v>
      </c>
      <c r="BI39" s="64">
        <v>0</v>
      </c>
      <c r="BJ39" s="64"/>
      <c r="BK39" s="65"/>
      <c r="BL39" s="66">
        <v>371755.18262940162</v>
      </c>
    </row>
    <row r="40" spans="1:64" x14ac:dyDescent="0.25">
      <c r="A40" s="122">
        <f t="shared" si="14"/>
        <v>23</v>
      </c>
      <c r="B40" s="62">
        <f t="shared" si="15"/>
        <v>23</v>
      </c>
      <c r="C40" s="62" t="s">
        <v>82</v>
      </c>
      <c r="D40" s="62" t="s">
        <v>1005</v>
      </c>
      <c r="E40" s="123">
        <v>1990</v>
      </c>
      <c r="F40" s="123">
        <v>2017</v>
      </c>
      <c r="G40" s="123" t="s">
        <v>43</v>
      </c>
      <c r="H40" s="123">
        <v>9</v>
      </c>
      <c r="I40" s="123">
        <v>1</v>
      </c>
      <c r="J40" s="64">
        <v>3197.5</v>
      </c>
      <c r="K40" s="64">
        <v>2621.1</v>
      </c>
      <c r="L40" s="64">
        <v>132.4</v>
      </c>
      <c r="M40" s="124">
        <v>94</v>
      </c>
      <c r="N40" s="63">
        <f t="shared" si="16"/>
        <v>2473466.5978491483</v>
      </c>
      <c r="O40" s="64"/>
      <c r="P40" s="65"/>
      <c r="Q40" s="65"/>
      <c r="R40" s="65">
        <v>1017398.54</v>
      </c>
      <c r="S40" s="65">
        <f>+'Приложение №2'!E49-'Приложение №1'!R40</f>
        <v>1456068.0578491483</v>
      </c>
      <c r="T40" s="64">
        <f>+'Приложение №2'!E49-'Приложение №1'!P40-'Приложение №1'!Q40-'Приложение №1'!R40-'Приложение №1'!S40</f>
        <v>0</v>
      </c>
      <c r="U40" s="65">
        <f t="shared" si="17"/>
        <v>898.29910944221842</v>
      </c>
      <c r="V40" s="65">
        <f t="shared" si="17"/>
        <v>898.29910944221842</v>
      </c>
      <c r="W40" s="126">
        <v>2022</v>
      </c>
      <c r="X40" s="127" t="e">
        <f>+#REF!-'[1]Приложение №1'!$P948</f>
        <v>#REF!</v>
      </c>
      <c r="Z40" s="63">
        <f t="shared" si="18"/>
        <v>19626786.772724856</v>
      </c>
      <c r="AA40" s="64">
        <v>6562716.0672657713</v>
      </c>
      <c r="AB40" s="64">
        <v>2625712.3410166483</v>
      </c>
      <c r="AC40" s="64">
        <v>1939345.6079399141</v>
      </c>
      <c r="AD40" s="64">
        <v>1239330.7510996102</v>
      </c>
      <c r="AE40" s="64">
        <v>0</v>
      </c>
      <c r="AF40" s="64"/>
      <c r="AG40" s="64">
        <v>291572.31503988599</v>
      </c>
      <c r="AH40" s="64">
        <v>0</v>
      </c>
      <c r="AI40" s="64">
        <v>0</v>
      </c>
      <c r="AJ40" s="64">
        <v>4563131.4637306379</v>
      </c>
      <c r="AK40" s="64">
        <v>0</v>
      </c>
      <c r="AL40" s="64">
        <v>0</v>
      </c>
      <c r="AM40" s="64">
        <v>1832104.2860598667</v>
      </c>
      <c r="AN40" s="65">
        <v>196267.86772724849</v>
      </c>
      <c r="AO40" s="66">
        <v>376606.07284526742</v>
      </c>
      <c r="AP40" s="128">
        <f>+N40-'Приложение №2'!E49</f>
        <v>0</v>
      </c>
      <c r="AQ40" s="23">
        <v>1678059.52</v>
      </c>
      <c r="AR40" s="25">
        <f t="shared" si="19"/>
        <v>385723.88339999993</v>
      </c>
      <c r="AS40" s="25">
        <f t="shared" si="20"/>
        <v>13613784.119999999</v>
      </c>
      <c r="AT40" s="127">
        <f t="shared" si="12"/>
        <v>-12157716.062150851</v>
      </c>
      <c r="AW40" s="63">
        <f t="shared" si="13"/>
        <v>2473466.5978491483</v>
      </c>
      <c r="AX40" s="64">
        <v>2223790.75</v>
      </c>
      <c r="AY40" s="64"/>
      <c r="AZ40" s="64"/>
      <c r="BA40" s="64"/>
      <c r="BB40" s="64">
        <v>0</v>
      </c>
      <c r="BC40" s="64"/>
      <c r="BD40" s="64"/>
      <c r="BE40" s="64">
        <v>0</v>
      </c>
      <c r="BF40" s="64">
        <v>0</v>
      </c>
      <c r="BG40" s="64"/>
      <c r="BH40" s="64">
        <v>0</v>
      </c>
      <c r="BI40" s="64">
        <v>0</v>
      </c>
      <c r="BJ40" s="64"/>
      <c r="BK40" s="65"/>
      <c r="BL40" s="66">
        <v>249675.84784914847</v>
      </c>
    </row>
    <row r="41" spans="1:64" x14ac:dyDescent="0.25">
      <c r="A41" s="122">
        <f t="shared" si="14"/>
        <v>24</v>
      </c>
      <c r="B41" s="62">
        <f t="shared" si="15"/>
        <v>24</v>
      </c>
      <c r="C41" s="62" t="s">
        <v>83</v>
      </c>
      <c r="D41" s="62" t="s">
        <v>633</v>
      </c>
      <c r="E41" s="123">
        <v>1994</v>
      </c>
      <c r="F41" s="123">
        <v>2017</v>
      </c>
      <c r="G41" s="123" t="s">
        <v>43</v>
      </c>
      <c r="H41" s="123">
        <v>10</v>
      </c>
      <c r="I41" s="123">
        <v>1</v>
      </c>
      <c r="J41" s="64">
        <v>3224</v>
      </c>
      <c r="K41" s="64">
        <v>2850</v>
      </c>
      <c r="L41" s="64">
        <v>0</v>
      </c>
      <c r="M41" s="124">
        <v>96</v>
      </c>
      <c r="N41" s="63">
        <f t="shared" si="16"/>
        <v>3289538.0500000003</v>
      </c>
      <c r="O41" s="64"/>
      <c r="P41" s="69">
        <v>2383274.1340000001</v>
      </c>
      <c r="Q41" s="69"/>
      <c r="R41" s="69">
        <v>906263.91600000008</v>
      </c>
      <c r="S41" s="65"/>
      <c r="T41" s="64"/>
      <c r="U41" s="65">
        <v>1943.3995389381168</v>
      </c>
      <c r="V41" s="65">
        <v>1943.3995389381168</v>
      </c>
      <c r="W41" s="126">
        <v>2022</v>
      </c>
      <c r="X41" s="127" t="e">
        <f>+#REF!-'[1]Приложение №1'!#REF!</f>
        <v>#REF!</v>
      </c>
      <c r="Z41" s="63">
        <f t="shared" si="18"/>
        <v>3305541.4805859262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/>
      <c r="AG41" s="64">
        <v>0</v>
      </c>
      <c r="AH41" s="64">
        <v>0</v>
      </c>
      <c r="AI41" s="64">
        <v>2911322.6036112485</v>
      </c>
      <c r="AJ41" s="64">
        <v>0</v>
      </c>
      <c r="AK41" s="64">
        <v>0</v>
      </c>
      <c r="AL41" s="64">
        <v>0</v>
      </c>
      <c r="AM41" s="64">
        <v>297498.73325273336</v>
      </c>
      <c r="AN41" s="65">
        <v>33055.414805859262</v>
      </c>
      <c r="AO41" s="66">
        <v>63664.728916084932</v>
      </c>
      <c r="AP41" s="128">
        <f>+N41-'Приложение №2'!E50</f>
        <v>0</v>
      </c>
      <c r="AR41" s="25">
        <f t="shared" si="19"/>
        <v>386340.3</v>
      </c>
      <c r="AT41" s="127"/>
      <c r="AW41" s="63">
        <f t="shared" si="13"/>
        <v>3289538.05</v>
      </c>
      <c r="AX41" s="64">
        <v>0</v>
      </c>
      <c r="AY41" s="64">
        <v>0</v>
      </c>
      <c r="AZ41" s="64">
        <v>0</v>
      </c>
      <c r="BA41" s="64">
        <v>0</v>
      </c>
      <c r="BB41" s="64">
        <v>0</v>
      </c>
      <c r="BC41" s="64"/>
      <c r="BD41" s="64"/>
      <c r="BE41" s="64">
        <v>0</v>
      </c>
      <c r="BF41" s="68">
        <v>2913300.81</v>
      </c>
      <c r="BG41" s="68">
        <v>0</v>
      </c>
      <c r="BH41" s="68">
        <v>0</v>
      </c>
      <c r="BI41" s="68">
        <v>0</v>
      </c>
      <c r="BJ41" s="68">
        <v>297498.73</v>
      </c>
      <c r="BK41" s="69">
        <v>8000</v>
      </c>
      <c r="BL41" s="70">
        <v>70738.509999999995</v>
      </c>
    </row>
    <row r="42" spans="1:64" x14ac:dyDescent="0.25">
      <c r="A42" s="122">
        <f t="shared" si="14"/>
        <v>25</v>
      </c>
      <c r="B42" s="62">
        <f t="shared" si="15"/>
        <v>25</v>
      </c>
      <c r="C42" s="62" t="s">
        <v>82</v>
      </c>
      <c r="D42" s="62" t="s">
        <v>1006</v>
      </c>
      <c r="E42" s="123">
        <v>1991</v>
      </c>
      <c r="F42" s="123">
        <v>1991</v>
      </c>
      <c r="G42" s="123" t="s">
        <v>43</v>
      </c>
      <c r="H42" s="123">
        <v>5</v>
      </c>
      <c r="I42" s="123">
        <v>8</v>
      </c>
      <c r="J42" s="64">
        <v>7532.7</v>
      </c>
      <c r="K42" s="64">
        <v>6513.5</v>
      </c>
      <c r="L42" s="64">
        <v>98.2</v>
      </c>
      <c r="M42" s="124">
        <v>288</v>
      </c>
      <c r="N42" s="63">
        <f t="shared" si="16"/>
        <v>3078216.5789347347</v>
      </c>
      <c r="O42" s="125"/>
      <c r="P42" s="65">
        <f>8851318.81019353-8851318.81019353</f>
        <v>0</v>
      </c>
      <c r="Q42" s="65"/>
      <c r="R42" s="65">
        <v>809686.14</v>
      </c>
      <c r="S42" s="65">
        <f>+'Приложение №2'!E51-'Приложение №1'!P42-'Приложение №1'!Q42-'Приложение №1'!R42</f>
        <v>2268530.4389347346</v>
      </c>
      <c r="T42" s="64">
        <f>+'Приложение №2'!E51-'Приложение №1'!P42-'Приложение №1'!Q42-'Приложение №1'!R42-'Приложение №1'!S42</f>
        <v>0</v>
      </c>
      <c r="U42" s="65">
        <f t="shared" ref="U42:V66" si="21">$N42/($K42+$L42)</f>
        <v>465.57112073063428</v>
      </c>
      <c r="V42" s="65">
        <f t="shared" si="21"/>
        <v>465.57112073063428</v>
      </c>
      <c r="W42" s="126">
        <v>2022</v>
      </c>
      <c r="X42" s="127" t="e">
        <f>+#REF!-'[1]Приложение №1'!$P574</f>
        <v>#REF!</v>
      </c>
      <c r="Z42" s="63">
        <f t="shared" si="18"/>
        <v>28038201.105236776</v>
      </c>
      <c r="AA42" s="64">
        <v>13119220.497721607</v>
      </c>
      <c r="AB42" s="64">
        <v>5615316.9923980432</v>
      </c>
      <c r="AC42" s="64">
        <v>0</v>
      </c>
      <c r="AD42" s="64">
        <v>5294421.916446479</v>
      </c>
      <c r="AE42" s="64">
        <v>0</v>
      </c>
      <c r="AF42" s="64"/>
      <c r="AG42" s="64">
        <v>544692.12481384957</v>
      </c>
      <c r="AH42" s="64">
        <v>0</v>
      </c>
      <c r="AI42" s="64">
        <v>0</v>
      </c>
      <c r="AJ42" s="64">
        <v>0</v>
      </c>
      <c r="AK42" s="64">
        <v>0</v>
      </c>
      <c r="AL42" s="64">
        <v>0</v>
      </c>
      <c r="AM42" s="64">
        <v>2646791.5738696922</v>
      </c>
      <c r="AN42" s="65">
        <v>280382.01105236774</v>
      </c>
      <c r="AO42" s="66">
        <v>537375.98893473484</v>
      </c>
      <c r="AP42" s="128">
        <f>+N42-'Приложение №2'!E51</f>
        <v>0</v>
      </c>
      <c r="AQ42" s="23">
        <f>3159895.02-'[4]Приложение №1'!$R$23-542094.29</f>
        <v>2338680.5110857142</v>
      </c>
      <c r="AR42" s="25">
        <f>+(K42*10+L42*20)*12*0.85</f>
        <v>684409.79999999993</v>
      </c>
      <c r="AS42" s="25">
        <f>+(K42*10+L42*20)*12*30-'[4]Приложение №1'!$S$23-4668048.56</f>
        <v>19282413.25</v>
      </c>
      <c r="AT42" s="127">
        <f t="shared" si="12"/>
        <v>-17013882.811065264</v>
      </c>
      <c r="AW42" s="63">
        <f t="shared" si="13"/>
        <v>3078216.5789347347</v>
      </c>
      <c r="AX42" s="64"/>
      <c r="AY42" s="64">
        <v>2540840.59</v>
      </c>
      <c r="AZ42" s="64">
        <v>0</v>
      </c>
      <c r="BA42" s="71"/>
      <c r="BB42" s="64">
        <v>0</v>
      </c>
      <c r="BC42" s="64"/>
      <c r="BD42" s="64"/>
      <c r="BE42" s="64">
        <v>0</v>
      </c>
      <c r="BF42" s="64">
        <v>0</v>
      </c>
      <c r="BG42" s="64">
        <v>0</v>
      </c>
      <c r="BH42" s="64">
        <v>0</v>
      </c>
      <c r="BI42" s="64">
        <v>0</v>
      </c>
      <c r="BJ42" s="64"/>
      <c r="BK42" s="65"/>
      <c r="BL42" s="66">
        <v>537375.98893473484</v>
      </c>
    </row>
    <row r="43" spans="1:64" x14ac:dyDescent="0.25">
      <c r="A43" s="122">
        <f t="shared" si="14"/>
        <v>26</v>
      </c>
      <c r="B43" s="62">
        <f t="shared" si="15"/>
        <v>26</v>
      </c>
      <c r="C43" s="62" t="s">
        <v>83</v>
      </c>
      <c r="D43" s="62" t="s">
        <v>634</v>
      </c>
      <c r="E43" s="123">
        <v>1993</v>
      </c>
      <c r="F43" s="123">
        <v>1993</v>
      </c>
      <c r="G43" s="123" t="s">
        <v>43</v>
      </c>
      <c r="H43" s="123">
        <v>9</v>
      </c>
      <c r="I43" s="123">
        <v>1</v>
      </c>
      <c r="J43" s="64">
        <v>2888.5</v>
      </c>
      <c r="K43" s="64">
        <v>2497</v>
      </c>
      <c r="L43" s="64">
        <v>0</v>
      </c>
      <c r="M43" s="124">
        <v>69</v>
      </c>
      <c r="N43" s="63">
        <f t="shared" si="16"/>
        <v>3685808.05</v>
      </c>
      <c r="O43" s="64"/>
      <c r="P43" s="69">
        <v>2911514.27</v>
      </c>
      <c r="Q43" s="69"/>
      <c r="R43" s="69">
        <v>774293.78</v>
      </c>
      <c r="S43" s="65"/>
      <c r="T43" s="64">
        <v>0</v>
      </c>
      <c r="U43" s="65">
        <f t="shared" si="21"/>
        <v>1476.0945334401281</v>
      </c>
      <c r="V43" s="65">
        <f t="shared" si="21"/>
        <v>1476.0945334401281</v>
      </c>
      <c r="W43" s="126">
        <v>2022</v>
      </c>
      <c r="X43" s="127" t="e">
        <f>+#REF!-'[1]Приложение №1'!#REF!</f>
        <v>#REF!</v>
      </c>
      <c r="Z43" s="63">
        <f t="shared" si="18"/>
        <v>11478959.236332808</v>
      </c>
      <c r="AA43" s="64">
        <v>5974688.2730102511</v>
      </c>
      <c r="AB43" s="64">
        <v>0</v>
      </c>
      <c r="AC43" s="64">
        <v>0</v>
      </c>
      <c r="AD43" s="64">
        <v>0</v>
      </c>
      <c r="AE43" s="64">
        <v>0</v>
      </c>
      <c r="AF43" s="64"/>
      <c r="AG43" s="64">
        <v>0</v>
      </c>
      <c r="AH43" s="64">
        <v>0</v>
      </c>
      <c r="AI43" s="64">
        <v>0</v>
      </c>
      <c r="AJ43" s="64">
        <v>4154269.0198868029</v>
      </c>
      <c r="AK43" s="64">
        <v>0</v>
      </c>
      <c r="AL43" s="64">
        <v>0</v>
      </c>
      <c r="AM43" s="64">
        <v>1013712.5696826887</v>
      </c>
      <c r="AN43" s="65">
        <v>114789.59236332808</v>
      </c>
      <c r="AO43" s="66">
        <v>221499.78138973733</v>
      </c>
      <c r="AP43" s="128">
        <f>+N43-'Приложение №2'!E52</f>
        <v>0</v>
      </c>
      <c r="AR43" s="25">
        <f>+(K43*13.29+L43*22.52)*12*0.85</f>
        <v>338488.32599999994</v>
      </c>
      <c r="AT43" s="127">
        <f t="shared" si="12"/>
        <v>0</v>
      </c>
      <c r="AW43" s="63">
        <f t="shared" si="13"/>
        <v>3685808.05</v>
      </c>
      <c r="AX43" s="68">
        <v>2951330.4</v>
      </c>
      <c r="AY43" s="68">
        <v>0</v>
      </c>
      <c r="AZ43" s="68">
        <v>0</v>
      </c>
      <c r="BA43" s="68">
        <v>0</v>
      </c>
      <c r="BB43" s="68">
        <v>0</v>
      </c>
      <c r="BC43" s="68"/>
      <c r="BD43" s="68"/>
      <c r="BE43" s="68">
        <v>0</v>
      </c>
      <c r="BF43" s="68">
        <v>0</v>
      </c>
      <c r="BG43" s="68"/>
      <c r="BH43" s="68">
        <v>0</v>
      </c>
      <c r="BI43" s="68">
        <v>0</v>
      </c>
      <c r="BJ43" s="68">
        <v>582619.32999999996</v>
      </c>
      <c r="BK43" s="69">
        <v>24000</v>
      </c>
      <c r="BL43" s="70">
        <v>127858.32</v>
      </c>
    </row>
    <row r="44" spans="1:64" x14ac:dyDescent="0.25">
      <c r="A44" s="122">
        <f t="shared" si="14"/>
        <v>27</v>
      </c>
      <c r="B44" s="62">
        <f t="shared" si="15"/>
        <v>27</v>
      </c>
      <c r="C44" s="62" t="s">
        <v>82</v>
      </c>
      <c r="D44" s="62" t="s">
        <v>1007</v>
      </c>
      <c r="E44" s="123">
        <v>1990</v>
      </c>
      <c r="F44" s="123">
        <v>1990</v>
      </c>
      <c r="G44" s="123" t="s">
        <v>43</v>
      </c>
      <c r="H44" s="123">
        <v>5</v>
      </c>
      <c r="I44" s="123">
        <v>8</v>
      </c>
      <c r="J44" s="64">
        <v>7467.3</v>
      </c>
      <c r="K44" s="64">
        <v>6603.4</v>
      </c>
      <c r="L44" s="64">
        <v>0</v>
      </c>
      <c r="M44" s="124">
        <v>290</v>
      </c>
      <c r="N44" s="63">
        <f t="shared" si="16"/>
        <v>9041524.1470446158</v>
      </c>
      <c r="O44" s="125"/>
      <c r="P44" s="65"/>
      <c r="Q44" s="65"/>
      <c r="R44" s="65">
        <v>3767863.0300000003</v>
      </c>
      <c r="S44" s="65">
        <f>+'Приложение №2'!E53-'Приложение №1'!P44-'Приложение №1'!Q44-'Приложение №1'!R44</f>
        <v>5273661.1170446156</v>
      </c>
      <c r="T44" s="64">
        <f>+'Приложение №2'!E53-'Приложение №1'!P44-'Приложение №1'!Q44-'Приложение №1'!R44-'Приложение №1'!S44</f>
        <v>0</v>
      </c>
      <c r="U44" s="65">
        <f t="shared" si="21"/>
        <v>1369.2225439992453</v>
      </c>
      <c r="V44" s="65">
        <f t="shared" si="21"/>
        <v>1369.2225439992453</v>
      </c>
      <c r="W44" s="126">
        <v>2022</v>
      </c>
      <c r="X44" s="127" t="e">
        <f>+#REF!-'[1]Приложение №1'!$P577</f>
        <v>#REF!</v>
      </c>
      <c r="Z44" s="63">
        <f t="shared" si="18"/>
        <v>28006015.637174524</v>
      </c>
      <c r="AA44" s="64">
        <v>13104160.749389457</v>
      </c>
      <c r="AB44" s="64">
        <v>5608871.0865055826</v>
      </c>
      <c r="AC44" s="64">
        <v>0</v>
      </c>
      <c r="AD44" s="64">
        <v>5288344.3707843907</v>
      </c>
      <c r="AE44" s="64">
        <v>0</v>
      </c>
      <c r="AF44" s="64"/>
      <c r="AG44" s="64">
        <v>544066.86462254275</v>
      </c>
      <c r="AH44" s="64">
        <v>0</v>
      </c>
      <c r="AI44" s="64">
        <v>0</v>
      </c>
      <c r="AJ44" s="64">
        <v>0</v>
      </c>
      <c r="AK44" s="64">
        <v>0</v>
      </c>
      <c r="AL44" s="64">
        <v>0</v>
      </c>
      <c r="AM44" s="64">
        <v>2643753.2824561852</v>
      </c>
      <c r="AN44" s="65">
        <v>280060.15637174522</v>
      </c>
      <c r="AO44" s="66">
        <v>536759.12704461697</v>
      </c>
      <c r="AP44" s="128">
        <f>+N44-'Приложение №2'!E53</f>
        <v>0</v>
      </c>
      <c r="AQ44" s="23">
        <v>3256134.06</v>
      </c>
      <c r="AR44" s="25">
        <f t="shared" ref="AR44:AR51" si="22">+(K44*10+L44*20)*12*0.85</f>
        <v>673546.79999999993</v>
      </c>
      <c r="AS44" s="25">
        <f t="shared" ref="AS44:AS51" si="23">+(K44*10+L44*20)*12*30</f>
        <v>23772240</v>
      </c>
      <c r="AT44" s="127">
        <f t="shared" si="12"/>
        <v>-18498578.882955384</v>
      </c>
      <c r="AW44" s="63">
        <f t="shared" si="13"/>
        <v>9041524.1470446158</v>
      </c>
      <c r="AX44" s="64">
        <v>3433452.29</v>
      </c>
      <c r="AY44" s="64">
        <v>2760585.92</v>
      </c>
      <c r="AZ44" s="64">
        <v>0</v>
      </c>
      <c r="BA44" s="64">
        <v>2310726.81</v>
      </c>
      <c r="BB44" s="64">
        <v>0</v>
      </c>
      <c r="BC44" s="64"/>
      <c r="BD44" s="64"/>
      <c r="BE44" s="64">
        <v>0</v>
      </c>
      <c r="BF44" s="64">
        <v>0</v>
      </c>
      <c r="BG44" s="64">
        <v>0</v>
      </c>
      <c r="BH44" s="64">
        <v>0</v>
      </c>
      <c r="BI44" s="64">
        <v>0</v>
      </c>
      <c r="BJ44" s="64"/>
      <c r="BK44" s="65"/>
      <c r="BL44" s="66">
        <v>536759.12704461697</v>
      </c>
    </row>
    <row r="45" spans="1:64" x14ac:dyDescent="0.25">
      <c r="A45" s="122">
        <f t="shared" si="14"/>
        <v>28</v>
      </c>
      <c r="B45" s="62">
        <f t="shared" si="15"/>
        <v>28</v>
      </c>
      <c r="C45" s="62" t="s">
        <v>82</v>
      </c>
      <c r="D45" s="62" t="s">
        <v>1008</v>
      </c>
      <c r="E45" s="123">
        <v>1986</v>
      </c>
      <c r="F45" s="123">
        <v>2013</v>
      </c>
      <c r="G45" s="123" t="s">
        <v>43</v>
      </c>
      <c r="H45" s="123">
        <v>5</v>
      </c>
      <c r="I45" s="123">
        <v>3</v>
      </c>
      <c r="J45" s="64">
        <v>4428.3999999999996</v>
      </c>
      <c r="K45" s="64">
        <v>3725.8</v>
      </c>
      <c r="L45" s="64">
        <v>0</v>
      </c>
      <c r="M45" s="124">
        <v>153</v>
      </c>
      <c r="N45" s="63">
        <f t="shared" si="16"/>
        <v>5302435.6314287242</v>
      </c>
      <c r="O45" s="64"/>
      <c r="P45" s="65"/>
      <c r="Q45" s="65"/>
      <c r="R45" s="65">
        <f>+AQ45+AR45</f>
        <v>2244260.13</v>
      </c>
      <c r="S45" s="65">
        <f>+'Приложение №2'!E54-'Приложение №1'!P45-'Приложение №1'!R45</f>
        <v>3058175.5014287243</v>
      </c>
      <c r="T45" s="64">
        <f>+'Приложение №2'!E54-'Приложение №1'!P45-'Приложение №1'!Q45-'Приложение №1'!R45-'Приложение №1'!S45</f>
        <v>0</v>
      </c>
      <c r="U45" s="65">
        <f t="shared" si="21"/>
        <v>1423.1670061272005</v>
      </c>
      <c r="V45" s="65">
        <f t="shared" si="21"/>
        <v>1423.1670061272005</v>
      </c>
      <c r="W45" s="126">
        <v>2022</v>
      </c>
      <c r="X45" s="127" t="e">
        <f>+#REF!-'[1]Приложение №1'!$P1347</f>
        <v>#REF!</v>
      </c>
      <c r="Z45" s="63">
        <f t="shared" si="18"/>
        <v>12150273.237424361</v>
      </c>
      <c r="AA45" s="64">
        <v>7382843.4652546057</v>
      </c>
      <c r="AB45" s="64">
        <v>0</v>
      </c>
      <c r="AC45" s="64">
        <v>0</v>
      </c>
      <c r="AD45" s="64">
        <v>2979436.7931330968</v>
      </c>
      <c r="AE45" s="64">
        <v>0</v>
      </c>
      <c r="AF45" s="64"/>
      <c r="AG45" s="64">
        <v>306525.58168040245</v>
      </c>
      <c r="AH45" s="64">
        <v>0</v>
      </c>
      <c r="AI45" s="64">
        <v>0</v>
      </c>
      <c r="AJ45" s="64">
        <v>0</v>
      </c>
      <c r="AK45" s="64">
        <v>0</v>
      </c>
      <c r="AL45" s="64">
        <v>0</v>
      </c>
      <c r="AM45" s="64">
        <v>1126659.4892437549</v>
      </c>
      <c r="AN45" s="65">
        <v>121502.73237424361</v>
      </c>
      <c r="AO45" s="66">
        <v>233305.17573825616</v>
      </c>
      <c r="AP45" s="128">
        <f>+N45-'Приложение №2'!E54</f>
        <v>0</v>
      </c>
      <c r="AQ45" s="23">
        <v>1864228.53</v>
      </c>
      <c r="AR45" s="25">
        <f t="shared" si="22"/>
        <v>380031.6</v>
      </c>
      <c r="AS45" s="25">
        <f t="shared" si="23"/>
        <v>13412880</v>
      </c>
      <c r="AT45" s="127">
        <f t="shared" si="12"/>
        <v>-10354704.498571277</v>
      </c>
      <c r="AW45" s="63">
        <f t="shared" si="13"/>
        <v>5302435.6314287242</v>
      </c>
      <c r="AX45" s="64"/>
      <c r="AY45" s="64">
        <v>0</v>
      </c>
      <c r="AZ45" s="64">
        <v>0</v>
      </c>
      <c r="BA45" s="64"/>
      <c r="BB45" s="64">
        <v>0</v>
      </c>
      <c r="BC45" s="64"/>
      <c r="BD45" s="64"/>
      <c r="BE45" s="64">
        <v>0</v>
      </c>
      <c r="BF45" s="64">
        <v>0</v>
      </c>
      <c r="BG45" s="64">
        <v>5115227.17</v>
      </c>
      <c r="BH45" s="64">
        <v>0</v>
      </c>
      <c r="BI45" s="64">
        <v>0</v>
      </c>
      <c r="BJ45" s="64"/>
      <c r="BK45" s="65"/>
      <c r="BL45" s="66">
        <v>187208.46142872394</v>
      </c>
    </row>
    <row r="46" spans="1:64" x14ac:dyDescent="0.25">
      <c r="A46" s="122">
        <f t="shared" si="14"/>
        <v>29</v>
      </c>
      <c r="B46" s="62">
        <f t="shared" si="15"/>
        <v>29</v>
      </c>
      <c r="C46" s="62" t="s">
        <v>82</v>
      </c>
      <c r="D46" s="62" t="s">
        <v>312</v>
      </c>
      <c r="E46" s="123">
        <v>1982</v>
      </c>
      <c r="F46" s="123">
        <v>2015</v>
      </c>
      <c r="G46" s="123" t="s">
        <v>43</v>
      </c>
      <c r="H46" s="123">
        <v>5</v>
      </c>
      <c r="I46" s="123">
        <v>2</v>
      </c>
      <c r="J46" s="64">
        <v>4442.3</v>
      </c>
      <c r="K46" s="64">
        <v>3156.5</v>
      </c>
      <c r="L46" s="64">
        <v>550.29999999999995</v>
      </c>
      <c r="M46" s="124">
        <v>201</v>
      </c>
      <c r="N46" s="63">
        <f t="shared" si="16"/>
        <v>4475493.9860630399</v>
      </c>
      <c r="O46" s="64"/>
      <c r="P46" s="65"/>
      <c r="Q46" s="65"/>
      <c r="R46" s="65">
        <f>+AQ46+AR46</f>
        <v>2476157.23</v>
      </c>
      <c r="S46" s="65">
        <f>+'Приложение №2'!E55-'Приложение №1'!P46-'Приложение №1'!R46</f>
        <v>1999336.7560630399</v>
      </c>
      <c r="T46" s="64">
        <f>+'Приложение №2'!E55-'Приложение №1'!P46-'Приложение №1'!Q46-'Приложение №1'!R46-'Приложение №1'!S46</f>
        <v>0</v>
      </c>
      <c r="U46" s="65">
        <f t="shared" si="21"/>
        <v>1207.3740115633536</v>
      </c>
      <c r="V46" s="65">
        <f t="shared" si="21"/>
        <v>1207.3740115633536</v>
      </c>
      <c r="W46" s="126">
        <v>2022</v>
      </c>
      <c r="X46" s="127" t="e">
        <f>+#REF!-'[1]Приложение №1'!$P1351</f>
        <v>#REF!</v>
      </c>
      <c r="Z46" s="63">
        <f t="shared" si="18"/>
        <v>7162902.2400000002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/>
      <c r="AG46" s="64">
        <v>0</v>
      </c>
      <c r="AH46" s="64">
        <v>0</v>
      </c>
      <c r="AI46" s="64">
        <v>0</v>
      </c>
      <c r="AJ46" s="64">
        <v>6238558.3575369595</v>
      </c>
      <c r="AK46" s="64">
        <v>0</v>
      </c>
      <c r="AL46" s="64">
        <v>0</v>
      </c>
      <c r="AM46" s="64">
        <v>716290.22400000005</v>
      </c>
      <c r="AN46" s="65">
        <v>71629.022400000002</v>
      </c>
      <c r="AO46" s="66">
        <v>136424.63606304</v>
      </c>
      <c r="AP46" s="128">
        <f>+N46-'Приложение №2'!E55</f>
        <v>0</v>
      </c>
      <c r="AQ46" s="23">
        <v>2041933.03</v>
      </c>
      <c r="AR46" s="25">
        <f t="shared" si="22"/>
        <v>434224.2</v>
      </c>
      <c r="AS46" s="25">
        <f t="shared" si="23"/>
        <v>15325560</v>
      </c>
      <c r="AT46" s="127">
        <f t="shared" si="12"/>
        <v>-13326223.24393696</v>
      </c>
      <c r="AW46" s="63">
        <f t="shared" si="13"/>
        <v>4475493.9860630399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/>
      <c r="BD46" s="64"/>
      <c r="BE46" s="64">
        <v>0</v>
      </c>
      <c r="BF46" s="64">
        <v>0</v>
      </c>
      <c r="BG46" s="64">
        <v>4339069.3499999996</v>
      </c>
      <c r="BH46" s="64">
        <v>0</v>
      </c>
      <c r="BI46" s="64">
        <v>0</v>
      </c>
      <c r="BJ46" s="64"/>
      <c r="BK46" s="65"/>
      <c r="BL46" s="66">
        <v>136424.63606304</v>
      </c>
    </row>
    <row r="47" spans="1:64" x14ac:dyDescent="0.25">
      <c r="A47" s="122">
        <f t="shared" si="14"/>
        <v>30</v>
      </c>
      <c r="B47" s="62">
        <f t="shared" si="15"/>
        <v>30</v>
      </c>
      <c r="C47" s="62" t="s">
        <v>82</v>
      </c>
      <c r="D47" s="62" t="s">
        <v>313</v>
      </c>
      <c r="E47" s="123">
        <v>1982</v>
      </c>
      <c r="F47" s="123">
        <v>2015</v>
      </c>
      <c r="G47" s="123" t="s">
        <v>43</v>
      </c>
      <c r="H47" s="123">
        <v>5</v>
      </c>
      <c r="I47" s="123">
        <v>2</v>
      </c>
      <c r="J47" s="64">
        <v>4452.8</v>
      </c>
      <c r="K47" s="64">
        <v>3512.5</v>
      </c>
      <c r="L47" s="64">
        <v>318.8</v>
      </c>
      <c r="M47" s="124">
        <v>217</v>
      </c>
      <c r="N47" s="63">
        <f t="shared" si="16"/>
        <v>4016836.5007339837</v>
      </c>
      <c r="O47" s="64"/>
      <c r="P47" s="65"/>
      <c r="Q47" s="65"/>
      <c r="R47" s="65">
        <v>1643740.64</v>
      </c>
      <c r="S47" s="65">
        <v>1314001.95</v>
      </c>
      <c r="T47" s="64">
        <f>+'Приложение №2'!E56-'Приложение №1'!P47-'Приложение №1'!Q47-'Приложение №1'!R47-'Приложение №1'!S47</f>
        <v>1059093.9107339841</v>
      </c>
      <c r="U47" s="65">
        <f t="shared" si="21"/>
        <v>1048.4265133855306</v>
      </c>
      <c r="V47" s="65">
        <f t="shared" si="21"/>
        <v>1048.4265133855306</v>
      </c>
      <c r="W47" s="126">
        <v>2022</v>
      </c>
      <c r="X47" s="127" t="e">
        <f>+#REF!-'[1]Приложение №1'!$P1352</f>
        <v>#REF!</v>
      </c>
      <c r="Z47" s="63">
        <f t="shared" si="18"/>
        <v>7066064.3040000005</v>
      </c>
      <c r="AA47" s="64">
        <v>0</v>
      </c>
      <c r="AB47" s="64">
        <v>0</v>
      </c>
      <c r="AC47" s="64">
        <v>0</v>
      </c>
      <c r="AD47" s="64">
        <v>0</v>
      </c>
      <c r="AE47" s="64">
        <v>0</v>
      </c>
      <c r="AF47" s="64"/>
      <c r="AG47" s="64">
        <v>0</v>
      </c>
      <c r="AH47" s="64">
        <v>0</v>
      </c>
      <c r="AI47" s="64">
        <v>0</v>
      </c>
      <c r="AJ47" s="64">
        <v>6154216.9698260156</v>
      </c>
      <c r="AK47" s="64">
        <v>0</v>
      </c>
      <c r="AL47" s="64">
        <v>0</v>
      </c>
      <c r="AM47" s="64">
        <v>706606.43040000007</v>
      </c>
      <c r="AN47" s="65">
        <v>70660.64304000001</v>
      </c>
      <c r="AO47" s="66">
        <v>134580.260733984</v>
      </c>
      <c r="AP47" s="128">
        <f>+N47-'Приложение №2'!E56</f>
        <v>0</v>
      </c>
      <c r="AQ47" s="23">
        <v>1702606.52</v>
      </c>
      <c r="AR47" s="25">
        <f t="shared" si="22"/>
        <v>423310.2</v>
      </c>
      <c r="AS47" s="25">
        <f t="shared" si="23"/>
        <v>14940360</v>
      </c>
      <c r="AT47" s="127">
        <f t="shared" si="12"/>
        <v>-13626358.050000001</v>
      </c>
      <c r="AW47" s="63">
        <f t="shared" si="13"/>
        <v>4016836.5007339842</v>
      </c>
      <c r="AX47" s="64">
        <v>0</v>
      </c>
      <c r="AY47" s="64">
        <v>0</v>
      </c>
      <c r="AZ47" s="64">
        <v>0</v>
      </c>
      <c r="BA47" s="64">
        <v>0</v>
      </c>
      <c r="BB47" s="64">
        <v>0</v>
      </c>
      <c r="BC47" s="64"/>
      <c r="BD47" s="64"/>
      <c r="BE47" s="64">
        <v>0</v>
      </c>
      <c r="BF47" s="64">
        <v>0</v>
      </c>
      <c r="BG47" s="64">
        <v>3882256.24</v>
      </c>
      <c r="BH47" s="64">
        <v>0</v>
      </c>
      <c r="BI47" s="64">
        <v>0</v>
      </c>
      <c r="BJ47" s="64"/>
      <c r="BK47" s="65"/>
      <c r="BL47" s="66">
        <v>134580.260733984</v>
      </c>
    </row>
    <row r="48" spans="1:64" x14ac:dyDescent="0.25">
      <c r="A48" s="122">
        <f t="shared" si="14"/>
        <v>31</v>
      </c>
      <c r="B48" s="62">
        <f t="shared" si="15"/>
        <v>31</v>
      </c>
      <c r="C48" s="62" t="s">
        <v>82</v>
      </c>
      <c r="D48" s="62" t="s">
        <v>314</v>
      </c>
      <c r="E48" s="123">
        <v>1982</v>
      </c>
      <c r="F48" s="123">
        <v>2015</v>
      </c>
      <c r="G48" s="123" t="s">
        <v>43</v>
      </c>
      <c r="H48" s="123">
        <v>5</v>
      </c>
      <c r="I48" s="123">
        <v>2</v>
      </c>
      <c r="J48" s="64">
        <v>4432.8999999999996</v>
      </c>
      <c r="K48" s="64">
        <v>3547.5</v>
      </c>
      <c r="L48" s="64">
        <v>134.80000000000001</v>
      </c>
      <c r="M48" s="124">
        <v>210</v>
      </c>
      <c r="N48" s="63">
        <f t="shared" si="16"/>
        <v>4129287.6900192648</v>
      </c>
      <c r="O48" s="64"/>
      <c r="P48" s="65"/>
      <c r="Q48" s="65"/>
      <c r="R48" s="65">
        <v>1735919.07</v>
      </c>
      <c r="S48" s="65">
        <v>1334293.18</v>
      </c>
      <c r="T48" s="64">
        <f>+'Приложение №2'!E57-'Приложение №1'!P48-'Приложение №1'!Q48-'Приложение №1'!R48-'Приложение №1'!S48</f>
        <v>1059075.4400192646</v>
      </c>
      <c r="U48" s="65">
        <f t="shared" si="21"/>
        <v>1121.3881785892688</v>
      </c>
      <c r="V48" s="65">
        <f t="shared" si="21"/>
        <v>1121.3881785892688</v>
      </c>
      <c r="W48" s="126">
        <v>2022</v>
      </c>
      <c r="X48" s="127" t="e">
        <f>+#REF!-'[1]Приложение №1'!$P1353</f>
        <v>#REF!</v>
      </c>
      <c r="Z48" s="63">
        <f t="shared" si="18"/>
        <v>7065093.9840000002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/>
      <c r="AG48" s="64">
        <v>0</v>
      </c>
      <c r="AH48" s="64">
        <v>0</v>
      </c>
      <c r="AI48" s="64">
        <v>0</v>
      </c>
      <c r="AJ48" s="64">
        <v>6153371.865740736</v>
      </c>
      <c r="AK48" s="64">
        <v>0</v>
      </c>
      <c r="AL48" s="64">
        <v>0</v>
      </c>
      <c r="AM48" s="64">
        <v>706509.39840000006</v>
      </c>
      <c r="AN48" s="65">
        <v>70650.939840000006</v>
      </c>
      <c r="AO48" s="66">
        <v>134561.780019264</v>
      </c>
      <c r="AP48" s="128">
        <f>+N48-'Приложение №2'!E57</f>
        <v>0</v>
      </c>
      <c r="AQ48" s="23">
        <v>1792243.71</v>
      </c>
      <c r="AR48" s="25">
        <f t="shared" si="22"/>
        <v>389344.2</v>
      </c>
      <c r="AS48" s="25">
        <f t="shared" si="23"/>
        <v>13741560</v>
      </c>
      <c r="AT48" s="127">
        <f t="shared" si="12"/>
        <v>-12407266.82</v>
      </c>
      <c r="AW48" s="63">
        <f t="shared" si="13"/>
        <v>4129287.6900192644</v>
      </c>
      <c r="AX48" s="64">
        <v>0</v>
      </c>
      <c r="AY48" s="64">
        <v>0</v>
      </c>
      <c r="AZ48" s="64">
        <v>0</v>
      </c>
      <c r="BA48" s="64">
        <v>0</v>
      </c>
      <c r="BB48" s="64">
        <v>0</v>
      </c>
      <c r="BC48" s="64"/>
      <c r="BD48" s="64"/>
      <c r="BE48" s="64">
        <v>0</v>
      </c>
      <c r="BF48" s="64">
        <v>0</v>
      </c>
      <c r="BG48" s="64">
        <v>3994725.91</v>
      </c>
      <c r="BH48" s="64">
        <v>0</v>
      </c>
      <c r="BI48" s="64">
        <v>0</v>
      </c>
      <c r="BJ48" s="64"/>
      <c r="BK48" s="65"/>
      <c r="BL48" s="66">
        <v>134561.780019264</v>
      </c>
    </row>
    <row r="49" spans="1:64" x14ac:dyDescent="0.25">
      <c r="A49" s="122">
        <f t="shared" si="14"/>
        <v>32</v>
      </c>
      <c r="B49" s="62">
        <f t="shared" si="15"/>
        <v>32</v>
      </c>
      <c r="C49" s="62" t="s">
        <v>82</v>
      </c>
      <c r="D49" s="62" t="s">
        <v>316</v>
      </c>
      <c r="E49" s="123" t="s">
        <v>112</v>
      </c>
      <c r="F49" s="123"/>
      <c r="G49" s="123" t="s">
        <v>43</v>
      </c>
      <c r="H49" s="123" t="s">
        <v>108</v>
      </c>
      <c r="I49" s="123" t="s">
        <v>98</v>
      </c>
      <c r="J49" s="64">
        <v>4415.8999999999996</v>
      </c>
      <c r="K49" s="64">
        <v>2900.4</v>
      </c>
      <c r="L49" s="64">
        <v>868.6</v>
      </c>
      <c r="M49" s="124">
        <v>169</v>
      </c>
      <c r="N49" s="95">
        <f t="shared" si="16"/>
        <v>3549906.48971568</v>
      </c>
      <c r="O49" s="125">
        <v>0</v>
      </c>
      <c r="P49" s="65">
        <v>0</v>
      </c>
      <c r="Q49" s="65">
        <v>0</v>
      </c>
      <c r="R49" s="65">
        <f>+'Приложение №2'!E58</f>
        <v>3549906.48971568</v>
      </c>
      <c r="S49" s="65"/>
      <c r="T49" s="65">
        <v>0</v>
      </c>
      <c r="U49" s="64">
        <f t="shared" si="21"/>
        <v>941.86959132811887</v>
      </c>
      <c r="V49" s="64">
        <f t="shared" si="21"/>
        <v>941.86959132811887</v>
      </c>
      <c r="W49" s="126">
        <v>2022</v>
      </c>
      <c r="X49" s="127"/>
      <c r="Z49" s="63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5"/>
      <c r="AO49" s="66"/>
      <c r="AP49" s="128">
        <f>+N49-'Приложение №2'!E58</f>
        <v>0</v>
      </c>
      <c r="AQ49" s="23">
        <v>3734892.48</v>
      </c>
      <c r="AR49" s="25">
        <f t="shared" si="22"/>
        <v>473035.2</v>
      </c>
      <c r="AS49" s="25">
        <f t="shared" si="23"/>
        <v>16695360</v>
      </c>
      <c r="AT49" s="127">
        <f t="shared" si="12"/>
        <v>-16695360</v>
      </c>
      <c r="AW49" s="63">
        <f t="shared" si="13"/>
        <v>3549906.48971568</v>
      </c>
      <c r="AX49" s="64">
        <v>0</v>
      </c>
      <c r="AY49" s="64">
        <v>0</v>
      </c>
      <c r="AZ49" s="64">
        <v>0</v>
      </c>
      <c r="BA49" s="64">
        <v>0</v>
      </c>
      <c r="BB49" s="64">
        <v>0</v>
      </c>
      <c r="BC49" s="64"/>
      <c r="BD49" s="64"/>
      <c r="BE49" s="64">
        <v>0</v>
      </c>
      <c r="BF49" s="64">
        <v>0</v>
      </c>
      <c r="BG49" s="64">
        <v>3410025.96</v>
      </c>
      <c r="BH49" s="64">
        <v>0</v>
      </c>
      <c r="BI49" s="64">
        <v>0</v>
      </c>
      <c r="BJ49" s="64"/>
      <c r="BK49" s="65"/>
      <c r="BL49" s="66">
        <v>139880.52971567999</v>
      </c>
    </row>
    <row r="50" spans="1:64" x14ac:dyDescent="0.25">
      <c r="A50" s="122">
        <f t="shared" si="14"/>
        <v>33</v>
      </c>
      <c r="B50" s="62">
        <f t="shared" si="15"/>
        <v>33</v>
      </c>
      <c r="C50" s="62" t="s">
        <v>82</v>
      </c>
      <c r="D50" s="62" t="s">
        <v>1009</v>
      </c>
      <c r="E50" s="123">
        <v>1983</v>
      </c>
      <c r="F50" s="123">
        <v>2008</v>
      </c>
      <c r="G50" s="123" t="s">
        <v>43</v>
      </c>
      <c r="H50" s="123">
        <v>5</v>
      </c>
      <c r="I50" s="123">
        <v>3</v>
      </c>
      <c r="J50" s="64">
        <v>5132.1000000000004</v>
      </c>
      <c r="K50" s="64">
        <v>4364.6000000000004</v>
      </c>
      <c r="L50" s="64">
        <v>0</v>
      </c>
      <c r="M50" s="124">
        <v>197</v>
      </c>
      <c r="N50" s="63">
        <f t="shared" si="16"/>
        <v>12323375.331853973</v>
      </c>
      <c r="O50" s="64"/>
      <c r="P50" s="65">
        <v>1178824.69</v>
      </c>
      <c r="Q50" s="65"/>
      <c r="R50" s="65">
        <f>+AQ50+AR50</f>
        <v>2481839.0700000003</v>
      </c>
      <c r="S50" s="65">
        <f>+'Приложение №2'!E59-'Приложение №1'!P50-'Приложение №1'!Q50-'Приложение №1'!R50</f>
        <v>8662711.571853973</v>
      </c>
      <c r="T50" s="64">
        <f>+'Приложение №2'!E59-'Приложение №1'!P50-'Приложение №1'!Q50-'Приложение №1'!R50-'Приложение №1'!S50</f>
        <v>0</v>
      </c>
      <c r="U50" s="65">
        <f t="shared" si="21"/>
        <v>2823.4833276483464</v>
      </c>
      <c r="V50" s="65">
        <f t="shared" si="21"/>
        <v>2823.4833276483464</v>
      </c>
      <c r="W50" s="126">
        <v>2022</v>
      </c>
      <c r="X50" s="127" t="e">
        <f>+#REF!-'[1]Приложение №1'!$P959</f>
        <v>#REF!</v>
      </c>
      <c r="Z50" s="63">
        <f t="shared" ref="Z50:Z66" si="24">SUM(AA50:AO50)</f>
        <v>38187844.389634863</v>
      </c>
      <c r="AA50" s="64">
        <v>8573356.2018279508</v>
      </c>
      <c r="AB50" s="64">
        <v>3669586.3729378125</v>
      </c>
      <c r="AC50" s="64">
        <v>3275767.6194978259</v>
      </c>
      <c r="AD50" s="64">
        <v>3459882.7712624557</v>
      </c>
      <c r="AE50" s="64">
        <v>0</v>
      </c>
      <c r="AF50" s="64"/>
      <c r="AG50" s="64">
        <v>355954.04522476508</v>
      </c>
      <c r="AH50" s="64">
        <v>0</v>
      </c>
      <c r="AI50" s="64">
        <v>14183322.770203391</v>
      </c>
      <c r="AJ50" s="64">
        <v>0</v>
      </c>
      <c r="AK50" s="64">
        <v>0</v>
      </c>
      <c r="AL50" s="64">
        <v>0</v>
      </c>
      <c r="AM50" s="64">
        <v>3555128.2378351944</v>
      </c>
      <c r="AN50" s="65">
        <v>381878.4438963487</v>
      </c>
      <c r="AO50" s="66">
        <v>732967.9269491313</v>
      </c>
      <c r="AP50" s="128">
        <f>+N50-'Приложение №2'!E59</f>
        <v>0</v>
      </c>
      <c r="AQ50" s="23">
        <v>2036649.87</v>
      </c>
      <c r="AR50" s="25">
        <f t="shared" si="22"/>
        <v>445189.2</v>
      </c>
      <c r="AS50" s="25">
        <f t="shared" si="23"/>
        <v>15712560</v>
      </c>
      <c r="AT50" s="127">
        <f t="shared" si="12"/>
        <v>-7049848.428146027</v>
      </c>
      <c r="AW50" s="63">
        <f t="shared" si="13"/>
        <v>12323375.331853973</v>
      </c>
      <c r="AX50" s="64">
        <v>5460916.2000000002</v>
      </c>
      <c r="AY50" s="64"/>
      <c r="AZ50" s="64"/>
      <c r="BA50" s="64">
        <v>2605145.33</v>
      </c>
      <c r="BB50" s="64">
        <v>0</v>
      </c>
      <c r="BC50" s="64"/>
      <c r="BD50" s="64"/>
      <c r="BE50" s="64">
        <v>0</v>
      </c>
      <c r="BF50" s="64">
        <v>3676226.7</v>
      </c>
      <c r="BG50" s="64">
        <v>0</v>
      </c>
      <c r="BH50" s="64">
        <v>0</v>
      </c>
      <c r="BI50" s="64">
        <v>0</v>
      </c>
      <c r="BJ50" s="64"/>
      <c r="BK50" s="65"/>
      <c r="BL50" s="66">
        <v>581087.10185397218</v>
      </c>
    </row>
    <row r="51" spans="1:64" x14ac:dyDescent="0.25">
      <c r="A51" s="122">
        <f t="shared" si="14"/>
        <v>34</v>
      </c>
      <c r="B51" s="62">
        <f t="shared" si="15"/>
        <v>34</v>
      </c>
      <c r="C51" s="62" t="s">
        <v>82</v>
      </c>
      <c r="D51" s="62" t="s">
        <v>333</v>
      </c>
      <c r="E51" s="123">
        <v>1992</v>
      </c>
      <c r="F51" s="123">
        <v>2001</v>
      </c>
      <c r="G51" s="123" t="s">
        <v>43</v>
      </c>
      <c r="H51" s="123">
        <v>3</v>
      </c>
      <c r="I51" s="123">
        <v>5</v>
      </c>
      <c r="J51" s="64">
        <v>2965.1</v>
      </c>
      <c r="K51" s="64">
        <v>2484</v>
      </c>
      <c r="L51" s="64">
        <v>87.5</v>
      </c>
      <c r="M51" s="124">
        <v>91</v>
      </c>
      <c r="N51" s="63">
        <f t="shared" si="16"/>
        <v>26057138.58937408</v>
      </c>
      <c r="O51" s="64"/>
      <c r="P51" s="65">
        <v>17333675.789999999</v>
      </c>
      <c r="Q51" s="65"/>
      <c r="R51" s="65">
        <f>+'Приложение №2'!E60-'Приложение №1'!P51-'Приложение №1'!S51</f>
        <v>1187004.639374081</v>
      </c>
      <c r="S51" s="65">
        <v>7536458.1600000001</v>
      </c>
      <c r="T51" s="64">
        <f>+'Приложение №2'!E60-'Приложение №1'!P51-'Приложение №1'!Q51-'Приложение №1'!R51-'Приложение №1'!S51</f>
        <v>0</v>
      </c>
      <c r="U51" s="65">
        <f t="shared" si="21"/>
        <v>10133.050200028809</v>
      </c>
      <c r="V51" s="65">
        <f t="shared" si="21"/>
        <v>10133.050200028809</v>
      </c>
      <c r="W51" s="126">
        <v>2022</v>
      </c>
      <c r="X51" s="127" t="e">
        <f>+#REF!-'[1]Приложение №1'!$P1360</f>
        <v>#REF!</v>
      </c>
      <c r="Z51" s="63">
        <f t="shared" si="24"/>
        <v>25552155.489999998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/>
      <c r="AG51" s="64">
        <v>0</v>
      </c>
      <c r="AH51" s="64">
        <v>0</v>
      </c>
      <c r="AI51" s="64">
        <v>22504805.426262595</v>
      </c>
      <c r="AJ51" s="64">
        <v>0</v>
      </c>
      <c r="AK51" s="64">
        <v>0</v>
      </c>
      <c r="AL51" s="64">
        <v>0</v>
      </c>
      <c r="AM51" s="64">
        <v>2299693.9940999998</v>
      </c>
      <c r="AN51" s="65">
        <v>255521.55489999999</v>
      </c>
      <c r="AO51" s="66">
        <v>492134.51473739999</v>
      </c>
      <c r="AP51" s="128">
        <f>+N51-'Приложение №2'!E60</f>
        <v>0</v>
      </c>
      <c r="AQ51" s="23">
        <v>1173019.05</v>
      </c>
      <c r="AR51" s="25">
        <f t="shared" si="22"/>
        <v>271218</v>
      </c>
      <c r="AS51" s="25">
        <f t="shared" si="23"/>
        <v>9572400</v>
      </c>
      <c r="AT51" s="127">
        <f t="shared" si="12"/>
        <v>-2035941.8399999999</v>
      </c>
      <c r="AW51" s="63">
        <f t="shared" si="13"/>
        <v>26057138.58937408</v>
      </c>
      <c r="AX51" s="64">
        <v>0</v>
      </c>
      <c r="AY51" s="64">
        <v>0</v>
      </c>
      <c r="AZ51" s="64">
        <v>0</v>
      </c>
      <c r="BA51" s="64">
        <v>0</v>
      </c>
      <c r="BB51" s="64">
        <v>0</v>
      </c>
      <c r="BC51" s="64"/>
      <c r="BD51" s="64"/>
      <c r="BE51" s="64">
        <v>0</v>
      </c>
      <c r="BF51" s="64"/>
      <c r="BG51" s="64">
        <v>0</v>
      </c>
      <c r="BH51" s="64">
        <v>24993173.34</v>
      </c>
      <c r="BI51" s="64">
        <v>0</v>
      </c>
      <c r="BJ51" s="64"/>
      <c r="BK51" s="65"/>
      <c r="BL51" s="66">
        <v>1063965.2493740798</v>
      </c>
    </row>
    <row r="52" spans="1:64" x14ac:dyDescent="0.25">
      <c r="A52" s="122">
        <f t="shared" si="14"/>
        <v>35</v>
      </c>
      <c r="B52" s="62">
        <f t="shared" si="15"/>
        <v>35</v>
      </c>
      <c r="C52" s="62" t="s">
        <v>82</v>
      </c>
      <c r="D52" s="62" t="s">
        <v>337</v>
      </c>
      <c r="E52" s="123">
        <v>1987</v>
      </c>
      <c r="F52" s="123">
        <v>2017</v>
      </c>
      <c r="G52" s="123" t="s">
        <v>43</v>
      </c>
      <c r="H52" s="123">
        <v>9</v>
      </c>
      <c r="I52" s="123">
        <v>1</v>
      </c>
      <c r="J52" s="64">
        <v>2767.8</v>
      </c>
      <c r="K52" s="64">
        <v>2150.8000000000002</v>
      </c>
      <c r="L52" s="64">
        <v>66.8</v>
      </c>
      <c r="M52" s="124">
        <v>94</v>
      </c>
      <c r="N52" s="95">
        <f t="shared" si="16"/>
        <v>2330396.1391615802</v>
      </c>
      <c r="O52" s="64"/>
      <c r="P52" s="65"/>
      <c r="Q52" s="65"/>
      <c r="R52" s="65">
        <v>472007.06</v>
      </c>
      <c r="S52" s="65">
        <f>+'Приложение №2'!E61-'Приложение №1'!R52</f>
        <v>1858389.0791615797</v>
      </c>
      <c r="T52" s="65">
        <v>2.3283064365386963E-10</v>
      </c>
      <c r="U52" s="64">
        <f t="shared" si="21"/>
        <v>1050.8640598672348</v>
      </c>
      <c r="V52" s="64">
        <f t="shared" si="21"/>
        <v>1050.8640598672348</v>
      </c>
      <c r="W52" s="126">
        <v>2022</v>
      </c>
      <c r="X52" s="127" t="e">
        <f>+#REF!-'[1]Приложение №1'!$P782</f>
        <v>#REF!</v>
      </c>
      <c r="Z52" s="63">
        <f t="shared" si="24"/>
        <v>24358296.106563497</v>
      </c>
      <c r="AA52" s="64">
        <v>5322442.2844350552</v>
      </c>
      <c r="AB52" s="64">
        <v>2129484.5377048999</v>
      </c>
      <c r="AC52" s="64">
        <v>0</v>
      </c>
      <c r="AD52" s="64">
        <v>0</v>
      </c>
      <c r="AE52" s="64">
        <v>0</v>
      </c>
      <c r="AF52" s="64"/>
      <c r="AG52" s="64">
        <v>236468.68196531132</v>
      </c>
      <c r="AH52" s="64">
        <v>0</v>
      </c>
      <c r="AI52" s="64">
        <v>0</v>
      </c>
      <c r="AJ52" s="64">
        <v>0</v>
      </c>
      <c r="AK52" s="64">
        <v>13665253.188203763</v>
      </c>
      <c r="AL52" s="64">
        <v>0</v>
      </c>
      <c r="AM52" s="64">
        <v>2294103.4047365393</v>
      </c>
      <c r="AN52" s="65">
        <v>243582.96106563497</v>
      </c>
      <c r="AO52" s="66">
        <v>466961.04845229239</v>
      </c>
      <c r="AP52" s="128">
        <f>+N52-'Приложение №2'!E61</f>
        <v>0</v>
      </c>
      <c r="AQ52" s="23">
        <v>1394329.46</v>
      </c>
      <c r="AR52" s="25">
        <f>+(K52*13.29+L52*22.52)*12*0.85</f>
        <v>306902.37360000005</v>
      </c>
      <c r="AS52" s="25">
        <f>+(K52*13.29+L52*22.52)*12*30</f>
        <v>10831848.48</v>
      </c>
      <c r="AT52" s="127">
        <f t="shared" si="12"/>
        <v>-8973459.4008384198</v>
      </c>
      <c r="AW52" s="63">
        <f t="shared" si="13"/>
        <v>2330396.1391615798</v>
      </c>
      <c r="AX52" s="64"/>
      <c r="AY52" s="64">
        <v>2149155.58</v>
      </c>
      <c r="AZ52" s="64">
        <v>0</v>
      </c>
      <c r="BA52" s="64">
        <v>0</v>
      </c>
      <c r="BB52" s="64">
        <v>0</v>
      </c>
      <c r="BC52" s="64"/>
      <c r="BD52" s="64"/>
      <c r="BE52" s="64"/>
      <c r="BF52" s="64"/>
      <c r="BG52" s="64"/>
      <c r="BH52" s="64"/>
      <c r="BI52" s="64">
        <v>0</v>
      </c>
      <c r="BJ52" s="64"/>
      <c r="BK52" s="65"/>
      <c r="BL52" s="66">
        <v>181240.55916157967</v>
      </c>
    </row>
    <row r="53" spans="1:64" x14ac:dyDescent="0.25">
      <c r="A53" s="122">
        <f t="shared" si="14"/>
        <v>36</v>
      </c>
      <c r="B53" s="62">
        <f t="shared" si="15"/>
        <v>36</v>
      </c>
      <c r="C53" s="62" t="s">
        <v>82</v>
      </c>
      <c r="D53" s="62" t="s">
        <v>635</v>
      </c>
      <c r="E53" s="123">
        <v>1992</v>
      </c>
      <c r="F53" s="123">
        <v>2009</v>
      </c>
      <c r="G53" s="123" t="s">
        <v>43</v>
      </c>
      <c r="H53" s="123">
        <v>9</v>
      </c>
      <c r="I53" s="123">
        <v>1</v>
      </c>
      <c r="J53" s="64">
        <v>3320.9</v>
      </c>
      <c r="K53" s="64">
        <v>2870.8</v>
      </c>
      <c r="L53" s="64">
        <v>0</v>
      </c>
      <c r="M53" s="124">
        <v>115</v>
      </c>
      <c r="N53" s="63">
        <f t="shared" si="16"/>
        <v>1888185.6276605655</v>
      </c>
      <c r="O53" s="64"/>
      <c r="P53" s="65"/>
      <c r="Q53" s="65"/>
      <c r="R53" s="65">
        <f>+'Приложение №2'!E62</f>
        <v>1888185.6276605655</v>
      </c>
      <c r="S53" s="65"/>
      <c r="T53" s="64">
        <f>+'Приложение №2'!E62-'Приложение №1'!P53-'Приложение №1'!Q53-'Приложение №1'!R53-'Приложение №1'!S53</f>
        <v>0</v>
      </c>
      <c r="U53" s="65">
        <f t="shared" si="21"/>
        <v>657.7210630000576</v>
      </c>
      <c r="V53" s="65">
        <f t="shared" si="21"/>
        <v>657.7210630000576</v>
      </c>
      <c r="W53" s="126">
        <v>2022</v>
      </c>
      <c r="X53" s="127" t="e">
        <f>+#REF!-'[1]Приложение №1'!$P981</f>
        <v>#REF!</v>
      </c>
      <c r="Z53" s="63">
        <f t="shared" si="24"/>
        <v>3421512.8588040192</v>
      </c>
      <c r="AA53" s="64">
        <v>0</v>
      </c>
      <c r="AB53" s="64">
        <v>0</v>
      </c>
      <c r="AC53" s="64">
        <v>0</v>
      </c>
      <c r="AD53" s="64">
        <v>0</v>
      </c>
      <c r="AE53" s="64">
        <v>0</v>
      </c>
      <c r="AF53" s="64"/>
      <c r="AG53" s="64">
        <v>0</v>
      </c>
      <c r="AH53" s="64">
        <v>0</v>
      </c>
      <c r="AI53" s="64">
        <v>3013463.2352630515</v>
      </c>
      <c r="AJ53" s="64">
        <v>0</v>
      </c>
      <c r="AK53" s="64">
        <v>0</v>
      </c>
      <c r="AL53" s="64">
        <v>0</v>
      </c>
      <c r="AM53" s="64">
        <v>307936.15729236172</v>
      </c>
      <c r="AN53" s="65">
        <v>34215.128588040192</v>
      </c>
      <c r="AO53" s="66">
        <v>65898.337660565405</v>
      </c>
      <c r="AP53" s="128">
        <f>+N53-'Приложение №2'!E62</f>
        <v>0</v>
      </c>
      <c r="AQ53" s="23">
        <v>1773302.69</v>
      </c>
      <c r="AR53" s="25">
        <f>+(K53*13.29+L53*22.52)*12*0.85</f>
        <v>389159.90639999998</v>
      </c>
      <c r="AS53" s="25">
        <f>+(K53*13.29+L53*22.52)*12*30</f>
        <v>13735055.52</v>
      </c>
      <c r="AT53" s="127">
        <f t="shared" si="12"/>
        <v>-13735055.52</v>
      </c>
      <c r="AW53" s="63">
        <f t="shared" si="13"/>
        <v>1888185.6276605655</v>
      </c>
      <c r="AX53" s="64">
        <v>0</v>
      </c>
      <c r="AY53" s="64">
        <v>0</v>
      </c>
      <c r="AZ53" s="64">
        <v>0</v>
      </c>
      <c r="BA53" s="64">
        <v>0</v>
      </c>
      <c r="BB53" s="64">
        <v>0</v>
      </c>
      <c r="BC53" s="64"/>
      <c r="BD53" s="64"/>
      <c r="BE53" s="64">
        <v>0</v>
      </c>
      <c r="BF53" s="64">
        <v>1822287.29</v>
      </c>
      <c r="BG53" s="64">
        <v>0</v>
      </c>
      <c r="BH53" s="64">
        <v>0</v>
      </c>
      <c r="BI53" s="64">
        <v>0</v>
      </c>
      <c r="BJ53" s="64"/>
      <c r="BK53" s="65"/>
      <c r="BL53" s="66">
        <v>65898.337660565405</v>
      </c>
    </row>
    <row r="54" spans="1:64" x14ac:dyDescent="0.25">
      <c r="A54" s="122">
        <f t="shared" si="14"/>
        <v>37</v>
      </c>
      <c r="B54" s="62">
        <f t="shared" si="15"/>
        <v>37</v>
      </c>
      <c r="C54" s="62" t="s">
        <v>83</v>
      </c>
      <c r="D54" s="62" t="s">
        <v>1010</v>
      </c>
      <c r="E54" s="123">
        <v>1995</v>
      </c>
      <c r="F54" s="123">
        <v>2007</v>
      </c>
      <c r="G54" s="123" t="s">
        <v>43</v>
      </c>
      <c r="H54" s="123">
        <v>9</v>
      </c>
      <c r="I54" s="123">
        <v>3</v>
      </c>
      <c r="J54" s="64">
        <v>8715.5</v>
      </c>
      <c r="K54" s="64">
        <v>7251.1</v>
      </c>
      <c r="L54" s="64">
        <v>660.9</v>
      </c>
      <c r="M54" s="124">
        <v>283</v>
      </c>
      <c r="N54" s="63">
        <f t="shared" si="16"/>
        <v>22074493.370000001</v>
      </c>
      <c r="O54" s="64"/>
      <c r="P54" s="65">
        <v>20694835.300000001</v>
      </c>
      <c r="Q54" s="69"/>
      <c r="R54" s="69">
        <v>1379658.07</v>
      </c>
      <c r="S54" s="65"/>
      <c r="T54" s="64"/>
      <c r="U54" s="65">
        <f t="shared" si="21"/>
        <v>2790.0016898382205</v>
      </c>
      <c r="V54" s="65">
        <f t="shared" si="21"/>
        <v>2790.0016898382205</v>
      </c>
      <c r="W54" s="126">
        <v>2022</v>
      </c>
      <c r="X54" s="127" t="e">
        <f>+#REF!-'[1]Приложение №1'!#REF!</f>
        <v>#REF!</v>
      </c>
      <c r="Z54" s="63">
        <f t="shared" si="24"/>
        <v>47583718.340731375</v>
      </c>
      <c r="AA54" s="64">
        <v>17694269.116222665</v>
      </c>
      <c r="AB54" s="64">
        <v>7079395.2241015183</v>
      </c>
      <c r="AC54" s="64">
        <v>5228826.4103661133</v>
      </c>
      <c r="AD54" s="64">
        <v>3341459.7872589645</v>
      </c>
      <c r="AE54" s="64">
        <v>0</v>
      </c>
      <c r="AF54" s="64"/>
      <c r="AG54" s="64">
        <v>786131.68027933023</v>
      </c>
      <c r="AH54" s="64">
        <v>0</v>
      </c>
      <c r="AI54" s="64">
        <v>7743707.0462670354</v>
      </c>
      <c r="AJ54" s="64">
        <v>0</v>
      </c>
      <c r="AK54" s="64">
        <v>0</v>
      </c>
      <c r="AL54" s="64">
        <v>0</v>
      </c>
      <c r="AM54" s="64">
        <v>4318396.9303716524</v>
      </c>
      <c r="AN54" s="65">
        <v>475837.18340731377</v>
      </c>
      <c r="AO54" s="66">
        <v>915694.96245678177</v>
      </c>
      <c r="AP54" s="128">
        <f>+N54-'Приложение №2'!E63</f>
        <v>0</v>
      </c>
      <c r="AR54" s="25">
        <f>+(K54*13.29+L54*22.52)*12*0.85</f>
        <v>1134755.9873999998</v>
      </c>
      <c r="AT54" s="127"/>
      <c r="AW54" s="63">
        <f t="shared" si="13"/>
        <v>22074493.369999997</v>
      </c>
      <c r="AX54" s="64"/>
      <c r="AY54" s="68">
        <v>6965734.7999999998</v>
      </c>
      <c r="AZ54" s="68">
        <v>2892341.42</v>
      </c>
      <c r="BA54" s="68">
        <v>3341459.79</v>
      </c>
      <c r="BB54" s="68">
        <v>0</v>
      </c>
      <c r="BC54" s="68"/>
      <c r="BD54" s="68"/>
      <c r="BE54" s="68">
        <v>0</v>
      </c>
      <c r="BF54" s="68">
        <v>7743707.0499999998</v>
      </c>
      <c r="BG54" s="68">
        <v>0</v>
      </c>
      <c r="BH54" s="68">
        <v>0</v>
      </c>
      <c r="BI54" s="68">
        <v>0</v>
      </c>
      <c r="BJ54" s="68">
        <v>732528.68</v>
      </c>
      <c r="BK54" s="69">
        <v>10000</v>
      </c>
      <c r="BL54" s="70">
        <v>388721.63</v>
      </c>
    </row>
    <row r="55" spans="1:64" x14ac:dyDescent="0.25">
      <c r="A55" s="122">
        <f t="shared" si="14"/>
        <v>38</v>
      </c>
      <c r="B55" s="62">
        <f t="shared" si="15"/>
        <v>38</v>
      </c>
      <c r="C55" s="62" t="s">
        <v>52</v>
      </c>
      <c r="D55" s="62" t="s">
        <v>678</v>
      </c>
      <c r="E55" s="123">
        <v>1995</v>
      </c>
      <c r="F55" s="123">
        <v>1995</v>
      </c>
      <c r="G55" s="123" t="s">
        <v>43</v>
      </c>
      <c r="H55" s="123">
        <v>2</v>
      </c>
      <c r="I55" s="123">
        <v>2</v>
      </c>
      <c r="J55" s="64">
        <v>1067.3</v>
      </c>
      <c r="K55" s="64">
        <v>984.4</v>
      </c>
      <c r="L55" s="64">
        <v>0</v>
      </c>
      <c r="M55" s="124">
        <v>43</v>
      </c>
      <c r="N55" s="63">
        <f t="shared" si="16"/>
        <v>12738229.499971399</v>
      </c>
      <c r="O55" s="64"/>
      <c r="P55" s="65">
        <f>4026047.45-[3]Лист1!$I$15</f>
        <v>0</v>
      </c>
      <c r="Q55" s="65"/>
      <c r="R55" s="65">
        <f>+AQ55+AR55</f>
        <v>543386.6</v>
      </c>
      <c r="S55" s="65">
        <f>+AS55</f>
        <v>3543840</v>
      </c>
      <c r="T55" s="64">
        <f>4624955.4499714+[3]Лист1!$I$15</f>
        <v>8651002.8999713995</v>
      </c>
      <c r="U55" s="65">
        <f t="shared" si="21"/>
        <v>12940.094981685696</v>
      </c>
      <c r="V55" s="65">
        <f t="shared" si="21"/>
        <v>12940.094981685696</v>
      </c>
      <c r="W55" s="126">
        <v>2022</v>
      </c>
      <c r="X55" s="127" t="e">
        <f>+#REF!-'[1]Приложение №1'!$P988</f>
        <v>#REF!</v>
      </c>
      <c r="Z55" s="63">
        <f t="shared" si="24"/>
        <v>16450906</v>
      </c>
      <c r="AA55" s="64">
        <v>1648275.62422068</v>
      </c>
      <c r="AB55" s="64">
        <v>0</v>
      </c>
      <c r="AC55" s="64">
        <v>1007648.27936304</v>
      </c>
      <c r="AD55" s="64">
        <v>768340.37867075996</v>
      </c>
      <c r="AE55" s="64">
        <v>0</v>
      </c>
      <c r="AF55" s="64"/>
      <c r="AG55" s="64">
        <v>81902.381790599989</v>
      </c>
      <c r="AH55" s="64">
        <v>0</v>
      </c>
      <c r="AI55" s="64">
        <v>2934181.5756624001</v>
      </c>
      <c r="AJ55" s="64">
        <v>0</v>
      </c>
      <c r="AK55" s="64">
        <v>5696730.1661940608</v>
      </c>
      <c r="AL55" s="64">
        <v>2240450.9097830998</v>
      </c>
      <c r="AM55" s="64">
        <v>1594460.1776000001</v>
      </c>
      <c r="AN55" s="65">
        <v>164509.06</v>
      </c>
      <c r="AO55" s="66">
        <v>314407.44671536004</v>
      </c>
      <c r="AP55" s="128">
        <f>+N55-'Приложение №2'!E64</f>
        <v>0</v>
      </c>
      <c r="AQ55" s="23">
        <v>442977.8</v>
      </c>
      <c r="AR55" s="25">
        <f t="shared" ref="AR55:AR66" si="25">+(K55*10+L55*20)*12*0.85</f>
        <v>100408.8</v>
      </c>
      <c r="AS55" s="25">
        <f t="shared" ref="AS55:AS62" si="26">+(K55*10+L55*20)*12*30</f>
        <v>3543840</v>
      </c>
      <c r="AT55" s="127">
        <f t="shared" si="12"/>
        <v>0</v>
      </c>
      <c r="AW55" s="63">
        <f t="shared" si="13"/>
        <v>12738229.499971401</v>
      </c>
      <c r="AX55" s="64">
        <v>1983392.29</v>
      </c>
      <c r="AY55" s="64">
        <v>0</v>
      </c>
      <c r="AZ55" s="64">
        <v>764851.03</v>
      </c>
      <c r="BA55" s="64">
        <v>859745.54</v>
      </c>
      <c r="BB55" s="64">
        <v>0</v>
      </c>
      <c r="BC55" s="64"/>
      <c r="BD55" s="64"/>
      <c r="BE55" s="64">
        <v>0</v>
      </c>
      <c r="BF55" s="64">
        <v>4729777.2699999996</v>
      </c>
      <c r="BG55" s="64">
        <v>0</v>
      </c>
      <c r="BH55" s="64">
        <v>3962700.17</v>
      </c>
      <c r="BI55" s="64"/>
      <c r="BJ55" s="64">
        <v>118987.5845</v>
      </c>
      <c r="BK55" s="65">
        <v>24854.014500000001</v>
      </c>
      <c r="BL55" s="66">
        <v>293921.60097140004</v>
      </c>
    </row>
    <row r="56" spans="1:64" x14ac:dyDescent="0.25">
      <c r="A56" s="122">
        <f t="shared" si="14"/>
        <v>39</v>
      </c>
      <c r="B56" s="62">
        <f t="shared" si="15"/>
        <v>39</v>
      </c>
      <c r="C56" s="62" t="s">
        <v>52</v>
      </c>
      <c r="D56" s="62" t="s">
        <v>1011</v>
      </c>
      <c r="E56" s="123">
        <v>1999</v>
      </c>
      <c r="F56" s="123">
        <v>2011</v>
      </c>
      <c r="G56" s="123" t="s">
        <v>43</v>
      </c>
      <c r="H56" s="123">
        <v>4</v>
      </c>
      <c r="I56" s="123">
        <v>3</v>
      </c>
      <c r="J56" s="64">
        <v>1789.4</v>
      </c>
      <c r="K56" s="64">
        <v>1789.4</v>
      </c>
      <c r="L56" s="64">
        <v>0</v>
      </c>
      <c r="M56" s="124">
        <v>56</v>
      </c>
      <c r="N56" s="63">
        <f t="shared" si="16"/>
        <v>10031683.765631996</v>
      </c>
      <c r="O56" s="64"/>
      <c r="P56" s="65">
        <v>1115147.8799999999</v>
      </c>
      <c r="Q56" s="65"/>
      <c r="R56" s="65">
        <v>889415</v>
      </c>
      <c r="S56" s="65">
        <f>+AS56</f>
        <v>6441840</v>
      </c>
      <c r="T56" s="64">
        <f>+'Приложение №2'!E65-'Приложение №1'!P56-'Приложение №1'!Q56-'Приложение №1'!R56-'Приложение №1'!S56</f>
        <v>1585280.8856319971</v>
      </c>
      <c r="U56" s="65">
        <f t="shared" si="21"/>
        <v>5606.1717702201831</v>
      </c>
      <c r="V56" s="65">
        <f t="shared" si="21"/>
        <v>5606.1717702201831</v>
      </c>
      <c r="W56" s="126">
        <v>2022</v>
      </c>
      <c r="X56" s="127" t="e">
        <f>+#REF!-'[1]Приложение №1'!$P989</f>
        <v>#REF!</v>
      </c>
      <c r="Z56" s="63">
        <f t="shared" si="24"/>
        <v>15155840.090000002</v>
      </c>
      <c r="AA56" s="64">
        <v>3843679.5940452004</v>
      </c>
      <c r="AB56" s="64">
        <v>0</v>
      </c>
      <c r="AC56" s="64">
        <v>1430991.0437205599</v>
      </c>
      <c r="AD56" s="64">
        <v>895890.8758312799</v>
      </c>
      <c r="AE56" s="64">
        <v>0</v>
      </c>
      <c r="AF56" s="64"/>
      <c r="AG56" s="64">
        <v>147492.512475</v>
      </c>
      <c r="AH56" s="64">
        <v>0</v>
      </c>
      <c r="AI56" s="64">
        <v>7026831.1230768003</v>
      </c>
      <c r="AJ56" s="64">
        <v>0</v>
      </c>
      <c r="AK56" s="64">
        <v>0</v>
      </c>
      <c r="AL56" s="64">
        <v>0</v>
      </c>
      <c r="AM56" s="64">
        <v>1367570.9297000002</v>
      </c>
      <c r="AN56" s="65">
        <v>151558.40090000001</v>
      </c>
      <c r="AO56" s="66">
        <v>291825.61025115999</v>
      </c>
      <c r="AP56" s="128">
        <f>+N56-'Приложение №2'!E65</f>
        <v>0</v>
      </c>
      <c r="AQ56" s="23">
        <v>725047.53</v>
      </c>
      <c r="AR56" s="25">
        <f t="shared" si="25"/>
        <v>182518.8</v>
      </c>
      <c r="AS56" s="25">
        <f t="shared" si="26"/>
        <v>6441840</v>
      </c>
      <c r="AT56" s="127">
        <f t="shared" si="12"/>
        <v>0</v>
      </c>
      <c r="AW56" s="63">
        <f t="shared" si="13"/>
        <v>10031683.765631998</v>
      </c>
      <c r="AX56" s="64">
        <v>3525522.9</v>
      </c>
      <c r="AY56" s="64">
        <v>0</v>
      </c>
      <c r="AZ56" s="64">
        <v>1377151.25</v>
      </c>
      <c r="BA56" s="64"/>
      <c r="BB56" s="64">
        <v>0</v>
      </c>
      <c r="BC56" s="64"/>
      <c r="BD56" s="64"/>
      <c r="BE56" s="64">
        <v>0</v>
      </c>
      <c r="BF56" s="64">
        <v>4462778.8899999997</v>
      </c>
      <c r="BG56" s="64">
        <v>0</v>
      </c>
      <c r="BH56" s="64">
        <v>0</v>
      </c>
      <c r="BI56" s="64">
        <v>0</v>
      </c>
      <c r="BJ56" s="64">
        <v>322308.04000000004</v>
      </c>
      <c r="BK56" s="65">
        <v>48000</v>
      </c>
      <c r="BL56" s="66">
        <v>295922.68563200004</v>
      </c>
    </row>
    <row r="57" spans="1:64" x14ac:dyDescent="0.25">
      <c r="A57" s="122">
        <f t="shared" si="14"/>
        <v>40</v>
      </c>
      <c r="B57" s="62">
        <f t="shared" si="15"/>
        <v>40</v>
      </c>
      <c r="C57" s="62" t="s">
        <v>52</v>
      </c>
      <c r="D57" s="62" t="s">
        <v>992</v>
      </c>
      <c r="E57" s="123">
        <v>1995</v>
      </c>
      <c r="F57" s="123">
        <v>2013</v>
      </c>
      <c r="G57" s="123" t="s">
        <v>43</v>
      </c>
      <c r="H57" s="123">
        <v>5</v>
      </c>
      <c r="I57" s="123">
        <v>4</v>
      </c>
      <c r="J57" s="64">
        <v>4929.5</v>
      </c>
      <c r="K57" s="64">
        <v>4328.8999999999996</v>
      </c>
      <c r="L57" s="64">
        <v>0</v>
      </c>
      <c r="M57" s="124">
        <v>159</v>
      </c>
      <c r="N57" s="63">
        <f t="shared" si="16"/>
        <v>7884285.4414625987</v>
      </c>
      <c r="O57" s="64"/>
      <c r="P57" s="65"/>
      <c r="Q57" s="65"/>
      <c r="R57" s="65">
        <f>779149.58+123154.11</f>
        <v>902303.69</v>
      </c>
      <c r="S57" s="65">
        <f>+'Приложение №2'!E66-'Приложение №1'!R57-P57</f>
        <v>6981981.7514625993</v>
      </c>
      <c r="T57" s="64">
        <f>+'Приложение №2'!E66-'Приложение №1'!P57-'Приложение №1'!Q57-'Приложение №1'!R57-'Приложение №1'!S57</f>
        <v>0</v>
      </c>
      <c r="U57" s="65">
        <f t="shared" si="21"/>
        <v>1821.3138306411788</v>
      </c>
      <c r="V57" s="65">
        <f t="shared" si="21"/>
        <v>1821.3138306411788</v>
      </c>
      <c r="W57" s="126">
        <v>2022</v>
      </c>
      <c r="X57" s="127" t="e">
        <f>+#REF!-'[1]Приложение №1'!$P992</f>
        <v>#REF!</v>
      </c>
      <c r="Z57" s="63">
        <f t="shared" si="24"/>
        <v>77122932.980000004</v>
      </c>
      <c r="AA57" s="64">
        <v>7245200.61515796</v>
      </c>
      <c r="AB57" s="64">
        <v>4190097.5862702606</v>
      </c>
      <c r="AC57" s="64">
        <v>4429243.3865698203</v>
      </c>
      <c r="AD57" s="64">
        <v>3377335.7392437602</v>
      </c>
      <c r="AE57" s="64">
        <v>0</v>
      </c>
      <c r="AF57" s="64"/>
      <c r="AG57" s="64">
        <v>360012.11029559997</v>
      </c>
      <c r="AH57" s="64">
        <v>0</v>
      </c>
      <c r="AI57" s="64">
        <v>12897560.1974562</v>
      </c>
      <c r="AJ57" s="64">
        <v>0</v>
      </c>
      <c r="AK57" s="64">
        <v>25040686.283834342</v>
      </c>
      <c r="AL57" s="64">
        <v>9848180.7538505998</v>
      </c>
      <c r="AM57" s="64">
        <v>7489740.9763000011</v>
      </c>
      <c r="AN57" s="65">
        <v>771229.32980000007</v>
      </c>
      <c r="AO57" s="66">
        <v>1473646.0012214603</v>
      </c>
      <c r="AP57" s="128">
        <f>+N57-'Приложение №2'!E66</f>
        <v>0</v>
      </c>
      <c r="AQ57" s="23">
        <v>1948762.98</v>
      </c>
      <c r="AR57" s="25">
        <f t="shared" si="25"/>
        <v>441547.8</v>
      </c>
      <c r="AS57" s="25">
        <f t="shared" si="26"/>
        <v>15584040</v>
      </c>
      <c r="AT57" s="127">
        <f t="shared" si="12"/>
        <v>-8602058.2485374007</v>
      </c>
      <c r="AW57" s="63">
        <f t="shared" si="13"/>
        <v>7884285.4414625997</v>
      </c>
      <c r="AX57" s="64">
        <v>5966685.6799999997</v>
      </c>
      <c r="AY57" s="64">
        <v>1488946.14</v>
      </c>
      <c r="AZ57" s="64"/>
      <c r="BA57" s="64"/>
      <c r="BB57" s="64">
        <v>0</v>
      </c>
      <c r="BC57" s="64"/>
      <c r="BD57" s="64"/>
      <c r="BE57" s="64">
        <v>0</v>
      </c>
      <c r="BF57" s="64"/>
      <c r="BG57" s="64">
        <v>0</v>
      </c>
      <c r="BH57" s="64"/>
      <c r="BI57" s="64"/>
      <c r="BJ57" s="64"/>
      <c r="BK57" s="65"/>
      <c r="BL57" s="66">
        <v>428653.62146259996</v>
      </c>
    </row>
    <row r="58" spans="1:64" x14ac:dyDescent="0.25">
      <c r="A58" s="122">
        <f t="shared" si="14"/>
        <v>41</v>
      </c>
      <c r="B58" s="62">
        <f t="shared" si="15"/>
        <v>41</v>
      </c>
      <c r="C58" s="62" t="s">
        <v>52</v>
      </c>
      <c r="D58" s="62" t="s">
        <v>1012</v>
      </c>
      <c r="E58" s="123">
        <v>1983</v>
      </c>
      <c r="F58" s="123">
        <v>1983</v>
      </c>
      <c r="G58" s="123" t="s">
        <v>43</v>
      </c>
      <c r="H58" s="123">
        <v>2</v>
      </c>
      <c r="I58" s="123">
        <v>2</v>
      </c>
      <c r="J58" s="64">
        <v>712.2</v>
      </c>
      <c r="K58" s="64">
        <v>635.1</v>
      </c>
      <c r="L58" s="64">
        <v>0</v>
      </c>
      <c r="M58" s="124">
        <v>33</v>
      </c>
      <c r="N58" s="63">
        <f t="shared" ref="N58:N88" si="27">+P58+Q58+R58+S58+T58</f>
        <v>12731761.317324182</v>
      </c>
      <c r="O58" s="64"/>
      <c r="P58" s="65">
        <v>2482138.8099999996</v>
      </c>
      <c r="Q58" s="65"/>
      <c r="R58" s="65">
        <f>+AQ58+AR58</f>
        <v>366253.68</v>
      </c>
      <c r="S58" s="65">
        <f>+AS58</f>
        <v>2286360</v>
      </c>
      <c r="T58" s="64">
        <f>+'Приложение №2'!E67-'Приложение №1'!P58-'Приложение №1'!Q58-'Приложение №1'!R58-'Приложение №1'!S58</f>
        <v>7597008.8273241818</v>
      </c>
      <c r="U58" s="65">
        <f t="shared" si="21"/>
        <v>20046.860836599248</v>
      </c>
      <c r="V58" s="65">
        <f t="shared" si="21"/>
        <v>20046.860836599248</v>
      </c>
      <c r="W58" s="126">
        <v>2022</v>
      </c>
      <c r="X58" s="127" t="e">
        <f>+#REF!-'[1]Приложение №1'!$P819</f>
        <v>#REF!</v>
      </c>
      <c r="Z58" s="63">
        <f t="shared" si="24"/>
        <v>20279025.380000006</v>
      </c>
      <c r="AA58" s="64">
        <v>1948967.0178451203</v>
      </c>
      <c r="AB58" s="64">
        <v>0</v>
      </c>
      <c r="AC58" s="64">
        <v>558813.84979433985</v>
      </c>
      <c r="AD58" s="64">
        <v>476227.19575200003</v>
      </c>
      <c r="AE58" s="64">
        <v>0</v>
      </c>
      <c r="AF58" s="64"/>
      <c r="AG58" s="64">
        <v>198888.25194671997</v>
      </c>
      <c r="AH58" s="64">
        <v>0</v>
      </c>
      <c r="AI58" s="64">
        <v>5638041.5737464009</v>
      </c>
      <c r="AJ58" s="64">
        <v>0</v>
      </c>
      <c r="AK58" s="64">
        <v>4610023.2322851</v>
      </c>
      <c r="AL58" s="64">
        <v>4338269.1668022005</v>
      </c>
      <c r="AM58" s="64">
        <v>1918427.7604</v>
      </c>
      <c r="AN58" s="65">
        <v>202790.25380000001</v>
      </c>
      <c r="AO58" s="66">
        <v>388577.07762811997</v>
      </c>
      <c r="AP58" s="128">
        <f>+N58-'Приложение №2'!E67</f>
        <v>0</v>
      </c>
      <c r="AQ58" s="23">
        <v>301473.48</v>
      </c>
      <c r="AR58" s="25">
        <f t="shared" si="25"/>
        <v>64780.2</v>
      </c>
      <c r="AS58" s="25">
        <f t="shared" si="26"/>
        <v>2286360</v>
      </c>
      <c r="AT58" s="127">
        <f t="shared" si="12"/>
        <v>0</v>
      </c>
      <c r="AW58" s="63">
        <f t="shared" si="13"/>
        <v>12731761.31732418</v>
      </c>
      <c r="AX58" s="64">
        <v>1765727.93</v>
      </c>
      <c r="AY58" s="64">
        <v>0</v>
      </c>
      <c r="AZ58" s="64">
        <v>609050.4</v>
      </c>
      <c r="BA58" s="64"/>
      <c r="BB58" s="64">
        <v>0</v>
      </c>
      <c r="BC58" s="64"/>
      <c r="BD58" s="64"/>
      <c r="BE58" s="64">
        <v>0</v>
      </c>
      <c r="BF58" s="64">
        <v>6221591.2110660002</v>
      </c>
      <c r="BG58" s="64"/>
      <c r="BH58" s="64"/>
      <c r="BI58" s="64">
        <v>2928661.91</v>
      </c>
      <c r="BJ58" s="64">
        <v>699135.1274</v>
      </c>
      <c r="BK58" s="65">
        <v>90522.263900000005</v>
      </c>
      <c r="BL58" s="66">
        <v>417072.47495817998</v>
      </c>
    </row>
    <row r="59" spans="1:64" x14ac:dyDescent="0.25">
      <c r="A59" s="122">
        <f t="shared" si="14"/>
        <v>42</v>
      </c>
      <c r="B59" s="62">
        <f t="shared" si="15"/>
        <v>42</v>
      </c>
      <c r="C59" s="62" t="s">
        <v>52</v>
      </c>
      <c r="D59" s="62" t="s">
        <v>679</v>
      </c>
      <c r="E59" s="123">
        <v>1979</v>
      </c>
      <c r="F59" s="123">
        <v>1979</v>
      </c>
      <c r="G59" s="123" t="s">
        <v>43</v>
      </c>
      <c r="H59" s="123">
        <v>4</v>
      </c>
      <c r="I59" s="123">
        <v>4</v>
      </c>
      <c r="J59" s="64">
        <v>4000.3</v>
      </c>
      <c r="K59" s="64">
        <v>3434.6</v>
      </c>
      <c r="L59" s="64">
        <v>0</v>
      </c>
      <c r="M59" s="124">
        <v>77</v>
      </c>
      <c r="N59" s="63">
        <f t="shared" si="27"/>
        <v>7296497.5090870196</v>
      </c>
      <c r="O59" s="64"/>
      <c r="P59" s="65"/>
      <c r="Q59" s="65"/>
      <c r="R59" s="65">
        <v>1019742.18</v>
      </c>
      <c r="S59" s="65">
        <f>+'Приложение №2'!E68-'Приложение №1'!R59</f>
        <v>6276755.3290870199</v>
      </c>
      <c r="T59" s="64">
        <f>+'Приложение №2'!E68-'Приложение №1'!P59-'Приложение №1'!Q59-'Приложение №1'!R59-'Приложение №1'!S59</f>
        <v>0</v>
      </c>
      <c r="U59" s="65">
        <f t="shared" si="21"/>
        <v>2124.4096864517032</v>
      </c>
      <c r="V59" s="65">
        <f t="shared" si="21"/>
        <v>2124.4096864517032</v>
      </c>
      <c r="W59" s="126">
        <v>2022</v>
      </c>
      <c r="X59" s="127" t="e">
        <f>+#REF!-'[1]Приложение №1'!$P999</f>
        <v>#REF!</v>
      </c>
      <c r="Z59" s="63">
        <f t="shared" si="24"/>
        <v>19726119.920000002</v>
      </c>
      <c r="AA59" s="64">
        <v>5852855.9652763205</v>
      </c>
      <c r="AB59" s="64">
        <v>3384866.6112261005</v>
      </c>
      <c r="AC59" s="64">
        <v>3578054.6250359397</v>
      </c>
      <c r="AD59" s="64">
        <v>2728297.0723629599</v>
      </c>
      <c r="AE59" s="64">
        <v>1089898.8321589197</v>
      </c>
      <c r="AF59" s="64"/>
      <c r="AG59" s="64">
        <v>290826.87134760001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2233947.6464</v>
      </c>
      <c r="AN59" s="65">
        <v>197261.19919999997</v>
      </c>
      <c r="AO59" s="66">
        <v>370111.09699215996</v>
      </c>
      <c r="AP59" s="128">
        <f>+N59-'Приложение №2'!E68</f>
        <v>0</v>
      </c>
      <c r="AQ59" s="23">
        <v>1726106.62</v>
      </c>
      <c r="AR59" s="25">
        <f t="shared" si="25"/>
        <v>350329.2</v>
      </c>
      <c r="AS59" s="25">
        <f t="shared" si="26"/>
        <v>12364560</v>
      </c>
      <c r="AT59" s="127">
        <f t="shared" si="12"/>
        <v>-6087804.6709129801</v>
      </c>
      <c r="AW59" s="63">
        <f t="shared" si="13"/>
        <v>7296497.5090870196</v>
      </c>
      <c r="AX59" s="64">
        <v>3493966.86</v>
      </c>
      <c r="AY59" s="64">
        <v>2141042.75</v>
      </c>
      <c r="AZ59" s="64"/>
      <c r="BA59" s="64">
        <v>1393455.49</v>
      </c>
      <c r="BB59" s="64"/>
      <c r="BC59" s="64"/>
      <c r="BD59" s="64"/>
      <c r="BE59" s="64">
        <v>0</v>
      </c>
      <c r="BF59" s="64">
        <v>0</v>
      </c>
      <c r="BG59" s="64">
        <v>0</v>
      </c>
      <c r="BH59" s="64">
        <v>0</v>
      </c>
      <c r="BI59" s="64">
        <v>0</v>
      </c>
      <c r="BJ59" s="64"/>
      <c r="BK59" s="65"/>
      <c r="BL59" s="66">
        <v>268032.40908702003</v>
      </c>
    </row>
    <row r="60" spans="1:64" x14ac:dyDescent="0.25">
      <c r="A60" s="122">
        <f t="shared" si="14"/>
        <v>43</v>
      </c>
      <c r="B60" s="62">
        <f t="shared" si="15"/>
        <v>43</v>
      </c>
      <c r="C60" s="62" t="s">
        <v>52</v>
      </c>
      <c r="D60" s="62" t="s">
        <v>993</v>
      </c>
      <c r="E60" s="123">
        <v>1986</v>
      </c>
      <c r="F60" s="123">
        <v>2013</v>
      </c>
      <c r="G60" s="123" t="s">
        <v>43</v>
      </c>
      <c r="H60" s="123">
        <v>4</v>
      </c>
      <c r="I60" s="123">
        <v>2</v>
      </c>
      <c r="J60" s="64">
        <v>3830.7</v>
      </c>
      <c r="K60" s="64">
        <v>3476.2</v>
      </c>
      <c r="L60" s="64">
        <v>0</v>
      </c>
      <c r="M60" s="124">
        <v>146</v>
      </c>
      <c r="N60" s="63">
        <f t="shared" si="27"/>
        <v>45900104.497929007</v>
      </c>
      <c r="O60" s="64"/>
      <c r="P60" s="65">
        <f>2138367.31+417072.01</f>
        <v>2555439.3200000003</v>
      </c>
      <c r="Q60" s="65"/>
      <c r="R60" s="65">
        <v>1738606.72</v>
      </c>
      <c r="S60" s="65">
        <v>13373245.48</v>
      </c>
      <c r="T60" s="64">
        <f>+'Приложение №2'!E69-'Приложение №1'!P60-'Приложение №1'!Q60-'Приложение №1'!R60-'Приложение №1'!S60</f>
        <v>28232812.977929007</v>
      </c>
      <c r="U60" s="65">
        <f t="shared" si="21"/>
        <v>13204.103474463209</v>
      </c>
      <c r="V60" s="65">
        <f t="shared" si="21"/>
        <v>13204.103474463209</v>
      </c>
      <c r="W60" s="126">
        <v>2022</v>
      </c>
      <c r="X60" s="127" t="e">
        <f>+#REF!-'[1]Приложение №1'!$P819</f>
        <v>#REF!</v>
      </c>
      <c r="Z60" s="63">
        <f t="shared" si="24"/>
        <v>63545858.419999994</v>
      </c>
      <c r="AA60" s="64">
        <v>5818965.56459946</v>
      </c>
      <c r="AB60" s="64">
        <v>3365266.8627295201</v>
      </c>
      <c r="AC60" s="64">
        <v>3557336.2493503802</v>
      </c>
      <c r="AD60" s="64">
        <v>2712499.1287925998</v>
      </c>
      <c r="AE60" s="64">
        <v>1083587.8791200402</v>
      </c>
      <c r="AF60" s="64"/>
      <c r="AG60" s="64">
        <v>289142.86613099999</v>
      </c>
      <c r="AH60" s="64">
        <v>0</v>
      </c>
      <c r="AI60" s="64">
        <v>10358644.6581282</v>
      </c>
      <c r="AJ60" s="64">
        <v>0</v>
      </c>
      <c r="AK60" s="64">
        <v>20111367.36101808</v>
      </c>
      <c r="AL60" s="64">
        <v>7909542.8401185004</v>
      </c>
      <c r="AM60" s="64">
        <v>6496795.2884999998</v>
      </c>
      <c r="AN60" s="65">
        <v>635458.58420000004</v>
      </c>
      <c r="AO60" s="66">
        <v>1207251.1373122202</v>
      </c>
      <c r="AP60" s="128">
        <f>+N60-'Приложение №2'!E69</f>
        <v>0</v>
      </c>
      <c r="AQ60" s="23">
        <f>1393126.98-102965.87</f>
        <v>1290161.1099999999</v>
      </c>
      <c r="AR60" s="25">
        <f t="shared" si="25"/>
        <v>354572.39999999997</v>
      </c>
      <c r="AS60" s="25">
        <f t="shared" si="26"/>
        <v>12514320</v>
      </c>
      <c r="AT60" s="127">
        <f t="shared" si="12"/>
        <v>858925.48000000045</v>
      </c>
      <c r="AW60" s="63">
        <f t="shared" si="13"/>
        <v>45900104.497929007</v>
      </c>
      <c r="AX60" s="64">
        <v>5399356.9199999999</v>
      </c>
      <c r="AY60" s="64"/>
      <c r="AZ60" s="64">
        <v>2387945.1800000002</v>
      </c>
      <c r="BA60" s="64">
        <v>2433472.6800000002</v>
      </c>
      <c r="BB60" s="64"/>
      <c r="BC60" s="64"/>
      <c r="BD60" s="64"/>
      <c r="BE60" s="64">
        <v>0</v>
      </c>
      <c r="BF60" s="64">
        <v>11379650.75</v>
      </c>
      <c r="BG60" s="64">
        <v>0</v>
      </c>
      <c r="BH60" s="64">
        <v>18883188.84</v>
      </c>
      <c r="BI60" s="64">
        <v>3776525.81</v>
      </c>
      <c r="BJ60" s="64">
        <v>276792.45750000002</v>
      </c>
      <c r="BK60" s="65">
        <v>44508.167499999996</v>
      </c>
      <c r="BL60" s="66">
        <v>1318663.6929290001</v>
      </c>
    </row>
    <row r="61" spans="1:64" x14ac:dyDescent="0.25">
      <c r="A61" s="122">
        <f t="shared" si="14"/>
        <v>44</v>
      </c>
      <c r="B61" s="62">
        <f t="shared" si="15"/>
        <v>44</v>
      </c>
      <c r="C61" s="62" t="s">
        <v>52</v>
      </c>
      <c r="D61" s="62" t="s">
        <v>680</v>
      </c>
      <c r="E61" s="123">
        <v>1991</v>
      </c>
      <c r="F61" s="123">
        <v>1991</v>
      </c>
      <c r="G61" s="123" t="s">
        <v>43</v>
      </c>
      <c r="H61" s="123">
        <v>2</v>
      </c>
      <c r="I61" s="123">
        <v>2</v>
      </c>
      <c r="J61" s="64">
        <v>704.8</v>
      </c>
      <c r="K61" s="64">
        <v>502.8</v>
      </c>
      <c r="L61" s="64">
        <v>0</v>
      </c>
      <c r="M61" s="124">
        <v>51</v>
      </c>
      <c r="N61" s="63">
        <f t="shared" si="27"/>
        <v>9358782.4640582055</v>
      </c>
      <c r="O61" s="64"/>
      <c r="P61" s="65">
        <v>6547481.0700000003</v>
      </c>
      <c r="Q61" s="65"/>
      <c r="R61" s="65">
        <f>+AQ61+AR61</f>
        <v>231480.48</v>
      </c>
      <c r="S61" s="65">
        <f>+'Приложение №2'!E70-'Приложение №1'!P61-'Приложение №1'!Q61-'Приложение №1'!R61</f>
        <v>2579820.9140582052</v>
      </c>
      <c r="T61" s="64">
        <f>+'Приложение №2'!E70-'Приложение №1'!P61-'Приложение №1'!Q61-'Приложение №1'!R61-'Приложение №1'!S61</f>
        <v>0</v>
      </c>
      <c r="U61" s="65">
        <f t="shared" si="21"/>
        <v>18613.330278556496</v>
      </c>
      <c r="V61" s="65">
        <f t="shared" si="21"/>
        <v>18613.330278556496</v>
      </c>
      <c r="W61" s="126">
        <v>2022</v>
      </c>
      <c r="X61" s="127" t="e">
        <f>+#REF!-'[1]Приложение №1'!$P1003</f>
        <v>#REF!</v>
      </c>
      <c r="Z61" s="63">
        <f t="shared" si="24"/>
        <v>10159649.210588206</v>
      </c>
      <c r="AA61" s="64">
        <v>1119793.79</v>
      </c>
      <c r="AB61" s="64">
        <v>0</v>
      </c>
      <c r="AC61" s="64">
        <v>319144.83</v>
      </c>
      <c r="AD61" s="64">
        <v>0</v>
      </c>
      <c r="AE61" s="64">
        <v>0</v>
      </c>
      <c r="AF61" s="64"/>
      <c r="AG61" s="64">
        <v>51441.136530000003</v>
      </c>
      <c r="AH61" s="64">
        <v>0</v>
      </c>
      <c r="AI61" s="64">
        <v>3034353.13</v>
      </c>
      <c r="AJ61" s="64">
        <v>0</v>
      </c>
      <c r="AK61" s="64">
        <v>3213076.97</v>
      </c>
      <c r="AL61" s="64">
        <v>2003686.6</v>
      </c>
      <c r="AM61" s="64">
        <v>222088.61</v>
      </c>
      <c r="AN61" s="64">
        <v>64189.444058208501</v>
      </c>
      <c r="AO61" s="66">
        <v>131874.70000000001</v>
      </c>
      <c r="AP61" s="128">
        <f>+N61-'Приложение №2'!E70</f>
        <v>0</v>
      </c>
      <c r="AQ61" s="23">
        <v>180194.88</v>
      </c>
      <c r="AR61" s="25">
        <f t="shared" si="25"/>
        <v>51285.599999999999</v>
      </c>
      <c r="AS61" s="25">
        <f t="shared" si="26"/>
        <v>1810080</v>
      </c>
      <c r="AT61" s="127">
        <f t="shared" si="12"/>
        <v>769740.91405820521</v>
      </c>
      <c r="AW61" s="63">
        <f t="shared" si="13"/>
        <v>9358782.4640582055</v>
      </c>
      <c r="AX61" s="64">
        <v>1114194.82</v>
      </c>
      <c r="AY61" s="64">
        <v>0</v>
      </c>
      <c r="AZ61" s="64">
        <v>325054.98</v>
      </c>
      <c r="BA61" s="64">
        <v>0</v>
      </c>
      <c r="BB61" s="64">
        <v>0</v>
      </c>
      <c r="BC61" s="64"/>
      <c r="BD61" s="64"/>
      <c r="BE61" s="64">
        <v>0</v>
      </c>
      <c r="BF61" s="64">
        <v>2410884.9500000002</v>
      </c>
      <c r="BG61" s="64">
        <v>0</v>
      </c>
      <c r="BH61" s="64">
        <v>2965969.93</v>
      </c>
      <c r="BI61" s="64">
        <v>2124525.0299999998</v>
      </c>
      <c r="BJ61" s="64">
        <v>222088.61</v>
      </c>
      <c r="BK61" s="64">
        <f>64189.4440582085</f>
        <v>64189.444058208501</v>
      </c>
      <c r="BL61" s="66">
        <v>131874.70000000001</v>
      </c>
    </row>
    <row r="62" spans="1:64" x14ac:dyDescent="0.25">
      <c r="A62" s="122">
        <f t="shared" si="14"/>
        <v>45</v>
      </c>
      <c r="B62" s="62">
        <f t="shared" si="15"/>
        <v>45</v>
      </c>
      <c r="C62" s="62" t="s">
        <v>52</v>
      </c>
      <c r="D62" s="62" t="s">
        <v>681</v>
      </c>
      <c r="E62" s="123">
        <v>1985</v>
      </c>
      <c r="F62" s="123">
        <v>1985</v>
      </c>
      <c r="G62" s="123" t="s">
        <v>43</v>
      </c>
      <c r="H62" s="123">
        <v>2</v>
      </c>
      <c r="I62" s="123">
        <v>2</v>
      </c>
      <c r="J62" s="64">
        <v>687.7</v>
      </c>
      <c r="K62" s="64">
        <v>539.6</v>
      </c>
      <c r="L62" s="64">
        <v>0</v>
      </c>
      <c r="M62" s="124">
        <v>34</v>
      </c>
      <c r="N62" s="63">
        <f t="shared" si="27"/>
        <v>495705.70943093998</v>
      </c>
      <c r="O62" s="125"/>
      <c r="P62" s="65"/>
      <c r="Q62" s="65"/>
      <c r="R62" s="65">
        <f>+AQ62+AR62</f>
        <v>238828.53999999998</v>
      </c>
      <c r="S62" s="65">
        <f>+'Приложение №2'!E71-'Приложение №1'!R62</f>
        <v>256877.16943094</v>
      </c>
      <c r="T62" s="64">
        <f>+'Приложение №2'!E71-'Приложение №1'!P62-'Приложение №1'!Q62-'Приложение №1'!R62-'Приложение №1'!S62</f>
        <v>0</v>
      </c>
      <c r="U62" s="65">
        <f t="shared" si="21"/>
        <v>918.65402044280938</v>
      </c>
      <c r="V62" s="65">
        <f t="shared" si="21"/>
        <v>918.65402044280938</v>
      </c>
      <c r="W62" s="126">
        <v>2022</v>
      </c>
      <c r="X62" s="127" t="e">
        <f>+#REF!-'[1]Приложение №1'!$P623</f>
        <v>#REF!</v>
      </c>
      <c r="Z62" s="63">
        <f t="shared" si="24"/>
        <v>10532880.890000001</v>
      </c>
      <c r="AA62" s="64">
        <v>0</v>
      </c>
      <c r="AB62" s="64">
        <v>0</v>
      </c>
      <c r="AC62" s="64">
        <v>539214.05775006011</v>
      </c>
      <c r="AD62" s="64">
        <v>0</v>
      </c>
      <c r="AE62" s="64">
        <v>0</v>
      </c>
      <c r="AF62" s="64"/>
      <c r="AG62" s="64">
        <v>0</v>
      </c>
      <c r="AH62" s="64">
        <v>0</v>
      </c>
      <c r="AI62" s="64">
        <v>0</v>
      </c>
      <c r="AJ62" s="64">
        <v>0</v>
      </c>
      <c r="AK62" s="64">
        <v>4448331.6324917404</v>
      </c>
      <c r="AL62" s="64">
        <v>4186109.0524272607</v>
      </c>
      <c r="AM62" s="64">
        <v>1053288.0889999999</v>
      </c>
      <c r="AN62" s="65">
        <v>105328.8089</v>
      </c>
      <c r="AO62" s="66">
        <v>200609.24943093999</v>
      </c>
      <c r="AP62" s="128">
        <f>+N62-'Приложение №2'!E71</f>
        <v>0</v>
      </c>
      <c r="AQ62" s="23">
        <v>183789.34</v>
      </c>
      <c r="AR62" s="25">
        <f t="shared" si="25"/>
        <v>55039.199999999997</v>
      </c>
      <c r="AS62" s="25">
        <f t="shared" si="26"/>
        <v>1942560</v>
      </c>
      <c r="AT62" s="127">
        <f t="shared" si="12"/>
        <v>-1685682.8305690601</v>
      </c>
      <c r="AW62" s="63">
        <f t="shared" si="13"/>
        <v>495705.70943093998</v>
      </c>
      <c r="AX62" s="64">
        <v>0</v>
      </c>
      <c r="AY62" s="64">
        <v>0</v>
      </c>
      <c r="AZ62" s="64">
        <v>295096.46000000002</v>
      </c>
      <c r="BA62" s="64">
        <v>0</v>
      </c>
      <c r="BB62" s="64">
        <v>0</v>
      </c>
      <c r="BC62" s="64"/>
      <c r="BD62" s="64"/>
      <c r="BE62" s="64">
        <v>0</v>
      </c>
      <c r="BF62" s="64">
        <v>0</v>
      </c>
      <c r="BG62" s="64">
        <v>0</v>
      </c>
      <c r="BH62" s="64"/>
      <c r="BI62" s="64"/>
      <c r="BJ62" s="64"/>
      <c r="BK62" s="65"/>
      <c r="BL62" s="66">
        <v>200609.24943093999</v>
      </c>
    </row>
    <row r="63" spans="1:64" x14ac:dyDescent="0.25">
      <c r="A63" s="122">
        <f t="shared" si="14"/>
        <v>46</v>
      </c>
      <c r="B63" s="62">
        <f t="shared" si="15"/>
        <v>46</v>
      </c>
      <c r="C63" s="62" t="s">
        <v>52</v>
      </c>
      <c r="D63" s="62" t="s">
        <v>682</v>
      </c>
      <c r="E63" s="123">
        <v>1986</v>
      </c>
      <c r="F63" s="123">
        <v>1986</v>
      </c>
      <c r="G63" s="123" t="s">
        <v>43</v>
      </c>
      <c r="H63" s="123">
        <v>2</v>
      </c>
      <c r="I63" s="123">
        <v>2</v>
      </c>
      <c r="J63" s="64">
        <v>683.3</v>
      </c>
      <c r="K63" s="64">
        <v>610.4</v>
      </c>
      <c r="L63" s="64">
        <v>0</v>
      </c>
      <c r="M63" s="124">
        <v>44</v>
      </c>
      <c r="N63" s="63">
        <f t="shared" si="27"/>
        <v>295096.46000000002</v>
      </c>
      <c r="O63" s="125"/>
      <c r="P63" s="65"/>
      <c r="Q63" s="65"/>
      <c r="R63" s="65">
        <v>265705.23</v>
      </c>
      <c r="S63" s="65">
        <f>+'Приложение №2'!E72-'Приложение №1'!P63-'Приложение №1'!Q63-'Приложение №1'!R63</f>
        <v>29391.23000000004</v>
      </c>
      <c r="T63" s="64">
        <f>+'Приложение №2'!E72-'Приложение №1'!P63-'Приложение №1'!Q63-'Приложение №1'!R63-'Приложение №1'!S63</f>
        <v>0</v>
      </c>
      <c r="U63" s="65">
        <f t="shared" si="21"/>
        <v>483.44767365661869</v>
      </c>
      <c r="V63" s="65">
        <f t="shared" si="21"/>
        <v>483.44767365661869</v>
      </c>
      <c r="W63" s="126">
        <v>2022</v>
      </c>
      <c r="X63" s="127" t="e">
        <f>+#REF!-'[1]Приложение №1'!$P624</f>
        <v>#REF!</v>
      </c>
      <c r="Z63" s="63">
        <f t="shared" si="24"/>
        <v>7665708.8647758998</v>
      </c>
      <c r="AA63" s="64">
        <v>0</v>
      </c>
      <c r="AB63" s="64">
        <v>0</v>
      </c>
      <c r="AC63" s="64">
        <v>534819.48515225993</v>
      </c>
      <c r="AD63" s="64">
        <v>0</v>
      </c>
      <c r="AE63" s="64">
        <v>0</v>
      </c>
      <c r="AF63" s="64"/>
      <c r="AG63" s="64">
        <v>0</v>
      </c>
      <c r="AH63" s="64">
        <v>0</v>
      </c>
      <c r="AI63" s="64">
        <v>0</v>
      </c>
      <c r="AJ63" s="64">
        <v>0</v>
      </c>
      <c r="AK63" s="64">
        <v>2395084.1800000006</v>
      </c>
      <c r="AL63" s="64">
        <v>3387656.69</v>
      </c>
      <c r="AM63" s="64">
        <v>1044703.834</v>
      </c>
      <c r="AN63" s="65">
        <v>104470.38340000001</v>
      </c>
      <c r="AO63" s="66">
        <v>198974.29222363996</v>
      </c>
      <c r="AP63" s="128">
        <f>+N63-'Приложение №2'!E72</f>
        <v>0</v>
      </c>
      <c r="AQ63" s="23">
        <v>203638.23</v>
      </c>
      <c r="AR63" s="25">
        <f t="shared" si="25"/>
        <v>62260.799999999996</v>
      </c>
      <c r="AS63" s="25">
        <f>+(K63*10+L63*20)*12*30-656415.36</f>
        <v>1541024.6400000001</v>
      </c>
      <c r="AT63" s="127">
        <f t="shared" si="12"/>
        <v>-1511633.4100000001</v>
      </c>
      <c r="AW63" s="63">
        <f t="shared" si="13"/>
        <v>295096.46000000002</v>
      </c>
      <c r="AX63" s="64">
        <v>0</v>
      </c>
      <c r="AY63" s="64">
        <v>0</v>
      </c>
      <c r="AZ63" s="64">
        <v>295096.46000000002</v>
      </c>
      <c r="BA63" s="64">
        <v>0</v>
      </c>
      <c r="BB63" s="64">
        <v>0</v>
      </c>
      <c r="BC63" s="64"/>
      <c r="BD63" s="64"/>
      <c r="BE63" s="64">
        <v>0</v>
      </c>
      <c r="BF63" s="64">
        <v>0</v>
      </c>
      <c r="BG63" s="64">
        <v>0</v>
      </c>
      <c r="BH63" s="64"/>
      <c r="BI63" s="64"/>
      <c r="BJ63" s="64"/>
      <c r="BK63" s="65"/>
      <c r="BL63" s="66"/>
    </row>
    <row r="64" spans="1:64" x14ac:dyDescent="0.25">
      <c r="A64" s="122">
        <f t="shared" si="14"/>
        <v>47</v>
      </c>
      <c r="B64" s="62">
        <f t="shared" si="15"/>
        <v>47</v>
      </c>
      <c r="C64" s="62" t="s">
        <v>52</v>
      </c>
      <c r="D64" s="62" t="s">
        <v>1013</v>
      </c>
      <c r="E64" s="123">
        <v>1981</v>
      </c>
      <c r="F64" s="123">
        <v>2013</v>
      </c>
      <c r="G64" s="123" t="s">
        <v>43</v>
      </c>
      <c r="H64" s="123">
        <v>5</v>
      </c>
      <c r="I64" s="123">
        <v>4</v>
      </c>
      <c r="J64" s="64">
        <v>4685.6000000000004</v>
      </c>
      <c r="K64" s="64">
        <v>4258.2</v>
      </c>
      <c r="L64" s="64">
        <v>0</v>
      </c>
      <c r="M64" s="124">
        <v>196</v>
      </c>
      <c r="N64" s="63">
        <f t="shared" si="27"/>
        <v>20563603.904344082</v>
      </c>
      <c r="O64" s="64"/>
      <c r="P64" s="65">
        <v>5434056.3399999999</v>
      </c>
      <c r="Q64" s="65"/>
      <c r="R64" s="65">
        <f>+AQ64+AR64</f>
        <v>1556339.8599999999</v>
      </c>
      <c r="S64" s="65">
        <v>8960527.3300000001</v>
      </c>
      <c r="T64" s="64">
        <f>+'Приложение №2'!E73-'Приложение №1'!P64-'Приложение №1'!Q64-'Приложение №1'!R64-'Приложение №1'!S64</f>
        <v>4612680.3743440825</v>
      </c>
      <c r="U64" s="65">
        <f t="shared" si="21"/>
        <v>4829.1775643098217</v>
      </c>
      <c r="V64" s="65">
        <f t="shared" si="21"/>
        <v>4829.1775643098217</v>
      </c>
      <c r="W64" s="126">
        <v>2022</v>
      </c>
      <c r="X64" s="127" t="e">
        <f>+#REF!-'[1]Приложение №1'!$P1001</f>
        <v>#REF!</v>
      </c>
      <c r="Z64" s="63">
        <f t="shared" si="24"/>
        <v>53162190.114960879</v>
      </c>
      <c r="AA64" s="64">
        <v>7102961.0915554194</v>
      </c>
      <c r="AB64" s="64"/>
      <c r="AD64" s="64"/>
      <c r="AE64" s="64">
        <v>1322689.13658126</v>
      </c>
      <c r="AF64" s="64"/>
      <c r="AG64" s="64">
        <v>352944.26574120001</v>
      </c>
      <c r="AH64" s="64">
        <v>0</v>
      </c>
      <c r="AI64" s="64"/>
      <c r="AJ64" s="64">
        <v>0</v>
      </c>
      <c r="AK64" s="64">
        <v>24549081.498129718</v>
      </c>
      <c r="AL64" s="64">
        <v>9654838.8947262019</v>
      </c>
      <c r="AM64" s="64">
        <v>7930358.6941000009</v>
      </c>
      <c r="AN64" s="65">
        <v>775676.97370000009</v>
      </c>
      <c r="AO64" s="66">
        <v>1473639.5604270801</v>
      </c>
      <c r="AP64" s="128">
        <f>+N64-'Приложение №2'!E73</f>
        <v>0</v>
      </c>
      <c r="AQ64" s="23">
        <f>1979236.76-807117.21-50116.09</f>
        <v>1122003.46</v>
      </c>
      <c r="AR64" s="25">
        <f t="shared" si="25"/>
        <v>434336.39999999997</v>
      </c>
      <c r="AS64" s="25">
        <f>+(K64*10+L64*20)*12*30-6222132.17-133900.5</f>
        <v>8973487.3300000001</v>
      </c>
      <c r="AT64" s="127">
        <f t="shared" si="12"/>
        <v>-12960</v>
      </c>
      <c r="AW64" s="63">
        <f t="shared" si="13"/>
        <v>20563603.904344082</v>
      </c>
      <c r="AX64" s="72"/>
      <c r="AY64" s="64"/>
      <c r="AZ64" s="71"/>
      <c r="BA64" s="64"/>
      <c r="BB64" s="64"/>
      <c r="BC64" s="64"/>
      <c r="BD64" s="64"/>
      <c r="BE64" s="64">
        <v>0</v>
      </c>
      <c r="BF64" s="64"/>
      <c r="BG64" s="64">
        <v>0</v>
      </c>
      <c r="BH64" s="64">
        <v>13315014.15</v>
      </c>
      <c r="BI64" s="64">
        <v>6316602.7000000002</v>
      </c>
      <c r="BJ64" s="64">
        <v>184016.59</v>
      </c>
      <c r="BK64" s="65"/>
      <c r="BL64" s="66">
        <v>747970.46434408007</v>
      </c>
    </row>
    <row r="65" spans="1:64" x14ac:dyDescent="0.25">
      <c r="A65" s="122">
        <f t="shared" si="14"/>
        <v>48</v>
      </c>
      <c r="B65" s="62">
        <f t="shared" si="15"/>
        <v>48</v>
      </c>
      <c r="C65" s="62" t="s">
        <v>52</v>
      </c>
      <c r="D65" s="62" t="s">
        <v>683</v>
      </c>
      <c r="E65" s="123">
        <v>1963</v>
      </c>
      <c r="F65" s="123">
        <v>2013</v>
      </c>
      <c r="G65" s="123" t="s">
        <v>43</v>
      </c>
      <c r="H65" s="123">
        <v>4</v>
      </c>
      <c r="I65" s="123">
        <v>4</v>
      </c>
      <c r="J65" s="64">
        <v>5268.75</v>
      </c>
      <c r="K65" s="64">
        <v>3170.15</v>
      </c>
      <c r="L65" s="64">
        <v>2098.6</v>
      </c>
      <c r="M65" s="124">
        <v>92</v>
      </c>
      <c r="N65" s="63">
        <f t="shared" si="27"/>
        <v>26746433.920307983</v>
      </c>
      <c r="O65" s="64"/>
      <c r="P65" s="65">
        <v>1562915.71</v>
      </c>
      <c r="Q65" s="65"/>
      <c r="R65" s="65">
        <f>+AQ65+AR65</f>
        <v>3803443.1100000003</v>
      </c>
      <c r="S65" s="65">
        <f>'Приложение №2'!E74-'Приложение №1'!P65-'Приложение №1'!R65-'Приложение №1'!T65</f>
        <v>12513319.670307983</v>
      </c>
      <c r="T65" s="64">
        <v>8866755.4299999997</v>
      </c>
      <c r="U65" s="65">
        <f t="shared" si="21"/>
        <v>5076.4287393229861</v>
      </c>
      <c r="V65" s="65">
        <f t="shared" si="21"/>
        <v>5076.4287393229861</v>
      </c>
      <c r="W65" s="126">
        <v>2022</v>
      </c>
      <c r="X65" s="127" t="e">
        <f>+#REF!-'[1]Приложение №1'!$P1002</f>
        <v>#REF!</v>
      </c>
      <c r="Z65" s="63">
        <f t="shared" si="24"/>
        <v>55905524.456026562</v>
      </c>
      <c r="AA65" s="64">
        <v>8910375.1309635937</v>
      </c>
      <c r="AB65" s="64">
        <v>3183729.7650160287</v>
      </c>
      <c r="AC65" s="64">
        <v>3374754.2381990571</v>
      </c>
      <c r="AD65" s="64">
        <v>2149419.7980030486</v>
      </c>
      <c r="AE65" s="64">
        <v>1581654.1276199999</v>
      </c>
      <c r="AF65" s="64"/>
      <c r="AG65" s="64">
        <v>320562.32128199999</v>
      </c>
      <c r="AH65" s="64">
        <v>0</v>
      </c>
      <c r="AI65" s="64">
        <v>16307858.936562859</v>
      </c>
      <c r="AJ65" s="64">
        <v>0</v>
      </c>
      <c r="AK65" s="64">
        <v>8424086.4921022002</v>
      </c>
      <c r="AL65" s="64">
        <v>9161049.1317717694</v>
      </c>
      <c r="AM65" s="64">
        <v>1263665.5900000001</v>
      </c>
      <c r="AN65" s="64">
        <v>60324.08</v>
      </c>
      <c r="AO65" s="66">
        <v>1168044.8445060002</v>
      </c>
      <c r="AP65" s="128">
        <f>+N65-'Приложение №2'!E74</f>
        <v>0</v>
      </c>
      <c r="AQ65" s="23">
        <v>3051973.41</v>
      </c>
      <c r="AR65" s="25">
        <f t="shared" si="25"/>
        <v>751469.7</v>
      </c>
      <c r="AS65" s="25">
        <f>+(K65*10+L65*20)*12*30</f>
        <v>26522460</v>
      </c>
      <c r="AT65" s="127">
        <f t="shared" si="12"/>
        <v>-14009140.329692017</v>
      </c>
      <c r="AW65" s="63">
        <f t="shared" si="13"/>
        <v>26746433.920307983</v>
      </c>
      <c r="AX65" s="64">
        <v>4769407.0999999996</v>
      </c>
      <c r="AY65" s="64"/>
      <c r="AZ65" s="71"/>
      <c r="BA65" s="64">
        <v>1031316.84</v>
      </c>
      <c r="BB65" s="64"/>
      <c r="BC65" s="64"/>
      <c r="BD65" s="64"/>
      <c r="BE65" s="64">
        <v>0</v>
      </c>
      <c r="BF65" s="64">
        <v>10189652.140000001</v>
      </c>
      <c r="BG65" s="64">
        <v>0</v>
      </c>
      <c r="BH65" s="64">
        <v>7616799.1900000004</v>
      </c>
      <c r="BI65" s="64">
        <v>787626.31</v>
      </c>
      <c r="BJ65" s="64">
        <v>1118801.8879009918</v>
      </c>
      <c r="BK65" s="64">
        <f>64785.607900992</f>
        <v>64785.607900991999</v>
      </c>
      <c r="BL65" s="66">
        <v>1168044.8445060002</v>
      </c>
    </row>
    <row r="66" spans="1:64" x14ac:dyDescent="0.25">
      <c r="A66" s="122">
        <f t="shared" si="14"/>
        <v>49</v>
      </c>
      <c r="B66" s="62">
        <f t="shared" si="15"/>
        <v>49</v>
      </c>
      <c r="C66" s="62" t="s">
        <v>52</v>
      </c>
      <c r="D66" s="62" t="s">
        <v>684</v>
      </c>
      <c r="E66" s="123">
        <v>1962</v>
      </c>
      <c r="F66" s="123">
        <v>2013</v>
      </c>
      <c r="G66" s="123" t="s">
        <v>43</v>
      </c>
      <c r="H66" s="123">
        <v>3</v>
      </c>
      <c r="I66" s="123">
        <v>4</v>
      </c>
      <c r="J66" s="64">
        <v>2475.3000000000002</v>
      </c>
      <c r="K66" s="64">
        <v>1760.3</v>
      </c>
      <c r="L66" s="64">
        <v>633.70000000000005</v>
      </c>
      <c r="M66" s="124">
        <v>67</v>
      </c>
      <c r="N66" s="95">
        <f t="shared" si="27"/>
        <v>701860.01140024001</v>
      </c>
      <c r="O66" s="64"/>
      <c r="P66" s="65"/>
      <c r="Q66" s="65"/>
      <c r="R66" s="65">
        <f>+'Приложение №2'!E75</f>
        <v>701860.01140024001</v>
      </c>
      <c r="S66" s="65">
        <f>+'Приложение №2'!E75-'Приложение №1'!R66</f>
        <v>0</v>
      </c>
      <c r="T66" s="65">
        <f>+'Приложение №2'!E75-'Приложение №1'!P66-'Приложение №1'!Q66-'Приложение №1'!R66-'Приложение №1'!S66</f>
        <v>0</v>
      </c>
      <c r="U66" s="64">
        <f t="shared" si="21"/>
        <v>293.1746079366082</v>
      </c>
      <c r="V66" s="64">
        <f t="shared" si="21"/>
        <v>293.1746079366082</v>
      </c>
      <c r="W66" s="126">
        <v>2022</v>
      </c>
      <c r="X66" s="127" t="e">
        <f>+#REF!-'[1]Приложение №1'!$P1603</f>
        <v>#REF!</v>
      </c>
      <c r="Z66" s="63">
        <f t="shared" si="24"/>
        <v>42587143.969999999</v>
      </c>
      <c r="AA66" s="64">
        <v>7066614.7537494609</v>
      </c>
      <c r="AB66" s="64">
        <v>4299926.4446779201</v>
      </c>
      <c r="AC66" s="64">
        <v>2026161.64019976</v>
      </c>
      <c r="AD66" s="64">
        <v>1726716.820332</v>
      </c>
      <c r="AE66" s="64">
        <v>927837.09472608019</v>
      </c>
      <c r="AF66" s="64"/>
      <c r="AG66" s="64">
        <v>721134.15164699999</v>
      </c>
      <c r="AH66" s="64">
        <v>0</v>
      </c>
      <c r="AI66" s="64">
        <v>20442556.221607797</v>
      </c>
      <c r="AJ66" s="64">
        <v>0</v>
      </c>
      <c r="AK66" s="64">
        <v>0</v>
      </c>
      <c r="AL66" s="64">
        <v>0</v>
      </c>
      <c r="AM66" s="64">
        <v>4136597.3545999997</v>
      </c>
      <c r="AN66" s="65">
        <v>425871.43969999999</v>
      </c>
      <c r="AO66" s="66">
        <v>813728.04875998001</v>
      </c>
      <c r="AP66" s="128">
        <f>+N66-'Приложение №2'!E75</f>
        <v>0</v>
      </c>
      <c r="AQ66" s="23">
        <v>1210415.78</v>
      </c>
      <c r="AR66" s="25">
        <f t="shared" si="25"/>
        <v>308825.39999999997</v>
      </c>
      <c r="AS66" s="25">
        <f>+(K66*10+L66*20)*12*30-4713256</f>
        <v>6186464</v>
      </c>
      <c r="AT66" s="127">
        <f t="shared" si="12"/>
        <v>-6186464</v>
      </c>
      <c r="AW66" s="63">
        <f t="shared" si="13"/>
        <v>701860.01140024001</v>
      </c>
      <c r="AX66" s="64"/>
      <c r="AY66" s="64"/>
      <c r="AZ66" s="64">
        <v>657551.96</v>
      </c>
      <c r="BA66" s="64"/>
      <c r="BB66" s="64"/>
      <c r="BC66" s="64"/>
      <c r="BD66" s="64"/>
      <c r="BE66" s="64">
        <v>0</v>
      </c>
      <c r="BF66" s="64"/>
      <c r="BG66" s="64">
        <v>0</v>
      </c>
      <c r="BH66" s="64">
        <v>0</v>
      </c>
      <c r="BI66" s="64">
        <v>0</v>
      </c>
      <c r="BJ66" s="64"/>
      <c r="BK66" s="65"/>
      <c r="BL66" s="66">
        <v>44308.051400240001</v>
      </c>
    </row>
    <row r="67" spans="1:64" s="74" customFormat="1" x14ac:dyDescent="0.25">
      <c r="A67" s="122">
        <f t="shared" si="14"/>
        <v>50</v>
      </c>
      <c r="B67" s="62">
        <f t="shared" si="15"/>
        <v>50</v>
      </c>
      <c r="C67" s="62" t="s">
        <v>52</v>
      </c>
      <c r="D67" s="62" t="s">
        <v>685</v>
      </c>
      <c r="E67" s="123" t="s">
        <v>95</v>
      </c>
      <c r="F67" s="123"/>
      <c r="G67" s="123" t="s">
        <v>43</v>
      </c>
      <c r="H67" s="123" t="s">
        <v>97</v>
      </c>
      <c r="I67" s="123" t="s">
        <v>98</v>
      </c>
      <c r="J67" s="64">
        <v>6441.2</v>
      </c>
      <c r="K67" s="64">
        <v>4463.1000000000004</v>
      </c>
      <c r="L67" s="64">
        <v>1969.2</v>
      </c>
      <c r="M67" s="124">
        <v>152</v>
      </c>
      <c r="N67" s="63">
        <f t="shared" si="27"/>
        <v>6059622.2357299505</v>
      </c>
      <c r="O67" s="64">
        <v>0</v>
      </c>
      <c r="P67" s="65"/>
      <c r="Q67" s="65">
        <v>0</v>
      </c>
      <c r="R67" s="65">
        <f>+AQ67+AR67</f>
        <v>5329893.6566000003</v>
      </c>
      <c r="S67" s="65">
        <f>+'Приложение №2'!E76-'Приложение №1'!R67</f>
        <v>729728.57912995014</v>
      </c>
      <c r="T67" s="64">
        <f>+'Приложение №2'!E76-'Приложение №1'!P67-'Приложение №1'!Q67-'Приложение №1'!R67-'Приложение №1'!S67</f>
        <v>0</v>
      </c>
      <c r="U67" s="65">
        <f>N67/K67</f>
        <v>1357.7159901704981</v>
      </c>
      <c r="V67" s="65">
        <v>1172.2830200640003</v>
      </c>
      <c r="W67" s="126">
        <v>2022</v>
      </c>
      <c r="X67" s="74">
        <v>3464637.96</v>
      </c>
      <c r="Y67" s="74">
        <f>+(K67*12.08+L67*20.47)*12</f>
        <v>1130685.264</v>
      </c>
      <c r="AA67" s="129">
        <f>+N67-'[5]Приложение № 2'!E64</f>
        <v>1291182.8557299506</v>
      </c>
      <c r="AD67" s="129">
        <f>+N67-'[5]Приложение № 2'!E64</f>
        <v>1291182.8557299506</v>
      </c>
      <c r="AP67" s="128">
        <f>+N67-'Приложение №2'!E76</f>
        <v>0</v>
      </c>
      <c r="AQ67" s="74">
        <v>4272551.63</v>
      </c>
      <c r="AR67" s="25">
        <f>+(K67*13.29+L67*22.52)*12*0.85</f>
        <v>1057342.0266</v>
      </c>
      <c r="AS67" s="25">
        <f>+(K67*13.29+L67*22.52)*12*30</f>
        <v>37317953.880000003</v>
      </c>
      <c r="AT67" s="127">
        <f t="shared" si="12"/>
        <v>-36588225.300870053</v>
      </c>
      <c r="AW67" s="63">
        <f t="shared" si="13"/>
        <v>6059622.2357299505</v>
      </c>
      <c r="AX67" s="63"/>
      <c r="AY67" s="63"/>
      <c r="AZ67" s="63"/>
      <c r="BA67" s="63"/>
      <c r="BB67" s="63"/>
      <c r="BC67" s="63"/>
      <c r="BD67" s="63"/>
      <c r="BE67" s="63">
        <v>5738993.2800000003</v>
      </c>
      <c r="BF67" s="63"/>
      <c r="BG67" s="63"/>
      <c r="BH67" s="63"/>
      <c r="BI67" s="63"/>
      <c r="BJ67" s="63">
        <v>146568.92267519998</v>
      </c>
      <c r="BK67" s="63">
        <v>24000</v>
      </c>
      <c r="BL67" s="63">
        <v>150060.03305475073</v>
      </c>
    </row>
    <row r="68" spans="1:64" s="74" customFormat="1" x14ac:dyDescent="0.25">
      <c r="A68" s="122">
        <f t="shared" si="14"/>
        <v>51</v>
      </c>
      <c r="B68" s="62">
        <f t="shared" si="15"/>
        <v>51</v>
      </c>
      <c r="C68" s="62" t="s">
        <v>52</v>
      </c>
      <c r="D68" s="62" t="s">
        <v>686</v>
      </c>
      <c r="E68" s="123" t="s">
        <v>95</v>
      </c>
      <c r="F68" s="123"/>
      <c r="G68" s="123" t="s">
        <v>43</v>
      </c>
      <c r="H68" s="123" t="s">
        <v>100</v>
      </c>
      <c r="I68" s="123" t="s">
        <v>98</v>
      </c>
      <c r="J68" s="64">
        <v>5186.3599999999997</v>
      </c>
      <c r="K68" s="64">
        <v>4076.7</v>
      </c>
      <c r="L68" s="64">
        <v>540.4</v>
      </c>
      <c r="M68" s="124">
        <v>130</v>
      </c>
      <c r="N68" s="63">
        <f t="shared" si="27"/>
        <v>6048926.2934416514</v>
      </c>
      <c r="O68" s="64">
        <v>0</v>
      </c>
      <c r="P68" s="65"/>
      <c r="Q68" s="65">
        <v>0</v>
      </c>
      <c r="R68" s="65">
        <f>+AQ68+AR68</f>
        <v>3933138.0602000002</v>
      </c>
      <c r="S68" s="65">
        <f>+'Приложение №2'!E77-'Приложение №1'!R68</f>
        <v>2115788.2332416512</v>
      </c>
      <c r="T68" s="64">
        <f>+'Приложение №2'!E77-'Приложение №1'!P68-'Приложение №1'!Q68-'Приложение №1'!R68-'Приложение №1'!S68</f>
        <v>0</v>
      </c>
      <c r="U68" s="65">
        <f>N68/K68</f>
        <v>1483.7800901321293</v>
      </c>
      <c r="V68" s="65">
        <v>1172.2830200640003</v>
      </c>
      <c r="W68" s="126">
        <v>2022</v>
      </c>
      <c r="X68" s="74">
        <v>2572778.1</v>
      </c>
      <c r="Y68" s="74">
        <f>+(K68*12.08+L68*20.47)*12</f>
        <v>723702.28799999994</v>
      </c>
      <c r="AA68" s="129">
        <f>+N68-'[5]Приложение № 2'!E65</f>
        <v>1592281.5734416516</v>
      </c>
      <c r="AD68" s="129">
        <f>+N68-'[5]Приложение № 2'!E65</f>
        <v>1592281.5734416516</v>
      </c>
      <c r="AP68" s="128">
        <f>+N68-'Приложение №2'!E77</f>
        <v>0</v>
      </c>
      <c r="AQ68" s="74">
        <v>3256376.72</v>
      </c>
      <c r="AR68" s="25">
        <f>+(K68*13.29+L68*22.52)*12*0.85</f>
        <v>676761.34019999986</v>
      </c>
      <c r="AS68" s="25">
        <f>+(K68*13.29+L68*22.52)*12*30</f>
        <v>23885694.359999999</v>
      </c>
      <c r="AT68" s="127">
        <f t="shared" si="12"/>
        <v>-21769906.126758348</v>
      </c>
      <c r="AW68" s="63">
        <f t="shared" si="13"/>
        <v>6048926.2934416514</v>
      </c>
      <c r="AX68" s="63"/>
      <c r="AY68" s="63"/>
      <c r="AZ68" s="63"/>
      <c r="BA68" s="63"/>
      <c r="BB68" s="63"/>
      <c r="BC68" s="63"/>
      <c r="BD68" s="63"/>
      <c r="BE68" s="63">
        <v>5738993.2800000003</v>
      </c>
      <c r="BF68" s="63"/>
      <c r="BG68" s="63"/>
      <c r="BH68" s="63"/>
      <c r="BI68" s="63"/>
      <c r="BJ68" s="63">
        <v>135639.08179199998</v>
      </c>
      <c r="BK68" s="63">
        <v>24000</v>
      </c>
      <c r="BL68" s="63">
        <v>150293.9316496512</v>
      </c>
    </row>
    <row r="69" spans="1:64" x14ac:dyDescent="0.25">
      <c r="A69" s="122">
        <f t="shared" si="14"/>
        <v>52</v>
      </c>
      <c r="B69" s="62">
        <f t="shared" si="15"/>
        <v>52</v>
      </c>
      <c r="C69" s="62" t="s">
        <v>52</v>
      </c>
      <c r="D69" s="62" t="s">
        <v>687</v>
      </c>
      <c r="E69" s="123">
        <v>1968</v>
      </c>
      <c r="F69" s="123">
        <v>2013</v>
      </c>
      <c r="G69" s="123" t="s">
        <v>43</v>
      </c>
      <c r="H69" s="123">
        <v>5</v>
      </c>
      <c r="I69" s="123">
        <v>4</v>
      </c>
      <c r="J69" s="64">
        <v>3228.9</v>
      </c>
      <c r="K69" s="64">
        <v>2518.9</v>
      </c>
      <c r="L69" s="64">
        <v>710</v>
      </c>
      <c r="M69" s="124">
        <v>136</v>
      </c>
      <c r="N69" s="95">
        <f>+P69+Q69+R69+S69+T69</f>
        <v>1231516.4522619999</v>
      </c>
      <c r="O69" s="64"/>
      <c r="P69" s="65"/>
      <c r="Q69" s="65"/>
      <c r="R69" s="65">
        <f>+'Приложение №2'!E78</f>
        <v>1231516.4522619999</v>
      </c>
      <c r="S69" s="65">
        <f>+'Приложение №2'!E78-'Приложение №1'!R69</f>
        <v>0</v>
      </c>
      <c r="T69" s="65">
        <v>0</v>
      </c>
      <c r="U69" s="64">
        <f>$N69/($K69+$L69)</f>
        <v>381.40433344544579</v>
      </c>
      <c r="V69" s="64">
        <f>$N69/($K69+$L69)</f>
        <v>381.40433344544579</v>
      </c>
      <c r="W69" s="126">
        <v>2022</v>
      </c>
      <c r="X69" s="127" t="e">
        <f>+#REF!-'[1]Приложение №1'!$P1407</f>
        <v>#REF!</v>
      </c>
      <c r="Z69" s="63">
        <f>SUM(AA69:AO69)</f>
        <v>27107198.400000002</v>
      </c>
      <c r="AA69" s="64">
        <v>5940143.1063865805</v>
      </c>
      <c r="AB69" s="64">
        <v>2116717.1923795803</v>
      </c>
      <c r="AC69" s="64">
        <v>2211498.4827243001</v>
      </c>
      <c r="AD69" s="64">
        <v>1384537.88247348</v>
      </c>
      <c r="AE69" s="64">
        <v>847110.81731472013</v>
      </c>
      <c r="AF69" s="64"/>
      <c r="AG69" s="64">
        <v>227939.55009504</v>
      </c>
      <c r="AH69" s="64">
        <v>0</v>
      </c>
      <c r="AI69" s="64">
        <v>10859485.412210401</v>
      </c>
      <c r="AJ69" s="64">
        <v>0</v>
      </c>
      <c r="AK69" s="64">
        <v>0</v>
      </c>
      <c r="AL69" s="64">
        <v>0</v>
      </c>
      <c r="AM69" s="64">
        <v>2732884.5975000001</v>
      </c>
      <c r="AN69" s="65">
        <v>271071.984</v>
      </c>
      <c r="AO69" s="66">
        <v>515809.3749159</v>
      </c>
      <c r="AP69" s="128">
        <f>+N69-'Приложение №2'!E78</f>
        <v>0</v>
      </c>
      <c r="AQ69" s="23">
        <v>1993779.07</v>
      </c>
      <c r="AR69" s="25">
        <f>+(K69*10+L69*20)*12*0.85</f>
        <v>401767.8</v>
      </c>
      <c r="AS69" s="25">
        <f>+(K69*10+L69*20)*12*30</f>
        <v>14180040</v>
      </c>
      <c r="AT69" s="127">
        <f>+S69-AS69</f>
        <v>-14180040</v>
      </c>
      <c r="AU69" s="127">
        <f>+P69-'[6]Приложение №1'!$P264</f>
        <v>0</v>
      </c>
      <c r="AV69" s="127">
        <f>+Q69-'[6]Приложение №1'!$Q264</f>
        <v>0</v>
      </c>
      <c r="AW69" s="63">
        <f t="shared" si="13"/>
        <v>1231516.4522619999</v>
      </c>
      <c r="AX69" s="64"/>
      <c r="AY69" s="64"/>
      <c r="AZ69" s="64"/>
      <c r="BA69" s="64"/>
      <c r="BB69" s="64">
        <f>1117005.032262+1399.01</f>
        <v>1118404.042262</v>
      </c>
      <c r="BC69" s="64"/>
      <c r="BD69" s="64"/>
      <c r="BE69" s="64"/>
      <c r="BF69" s="64"/>
      <c r="BG69" s="64">
        <v>0</v>
      </c>
      <c r="BH69" s="64">
        <v>0</v>
      </c>
      <c r="BI69" s="64">
        <v>0</v>
      </c>
      <c r="BJ69" s="64"/>
      <c r="BK69" s="65"/>
      <c r="BL69" s="66">
        <v>113112.41</v>
      </c>
    </row>
    <row r="70" spans="1:64" x14ac:dyDescent="0.25">
      <c r="A70" s="122">
        <f t="shared" si="14"/>
        <v>53</v>
      </c>
      <c r="B70" s="62">
        <f t="shared" si="15"/>
        <v>53</v>
      </c>
      <c r="C70" s="62" t="s">
        <v>52</v>
      </c>
      <c r="D70" s="62" t="s">
        <v>688</v>
      </c>
      <c r="E70" s="123">
        <v>1965</v>
      </c>
      <c r="F70" s="123">
        <v>2005</v>
      </c>
      <c r="G70" s="123" t="s">
        <v>43</v>
      </c>
      <c r="H70" s="123">
        <v>4</v>
      </c>
      <c r="I70" s="123">
        <v>2</v>
      </c>
      <c r="J70" s="64">
        <v>1948.5</v>
      </c>
      <c r="K70" s="64">
        <v>1410</v>
      </c>
      <c r="L70" s="64">
        <v>537.70000000000005</v>
      </c>
      <c r="M70" s="124">
        <v>38</v>
      </c>
      <c r="N70" s="63">
        <f t="shared" si="27"/>
        <v>784502.32414875994</v>
      </c>
      <c r="O70" s="64"/>
      <c r="P70" s="65"/>
      <c r="Q70" s="65"/>
      <c r="R70" s="65">
        <f>+'Приложение №2'!E79</f>
        <v>784502.32414875994</v>
      </c>
      <c r="S70" s="65">
        <f>+'Приложение №2'!E79-'Приложение №1'!R70</f>
        <v>0</v>
      </c>
      <c r="T70" s="64"/>
      <c r="U70" s="65">
        <f t="shared" ref="U70:V86" si="28">$N70/($K70+$L70)</f>
        <v>402.78396269895768</v>
      </c>
      <c r="V70" s="65">
        <f t="shared" si="28"/>
        <v>402.78396269895768</v>
      </c>
      <c r="W70" s="126">
        <v>2022</v>
      </c>
      <c r="X70" s="127" t="e">
        <f>+#REF!-'[1]Приложение №1'!$P1408</f>
        <v>#REF!</v>
      </c>
      <c r="Z70" s="63">
        <f t="shared" ref="Z70:Z86" si="29">SUM(AA70:AO70)</f>
        <v>10380935.740000002</v>
      </c>
      <c r="AA70" s="64">
        <v>4172919.5503249806</v>
      </c>
      <c r="AB70" s="64">
        <v>1486982.7864103799</v>
      </c>
      <c r="AC70" s="64">
        <v>1553566.1571465</v>
      </c>
      <c r="AD70" s="64">
        <v>972630.6372728399</v>
      </c>
      <c r="AE70" s="64">
        <v>595090.92894678004</v>
      </c>
      <c r="AF70" s="64"/>
      <c r="AG70" s="64">
        <v>160126.34455524001</v>
      </c>
      <c r="AH70" s="64">
        <v>0</v>
      </c>
      <c r="AI70" s="64">
        <v>0</v>
      </c>
      <c r="AJ70" s="64">
        <v>0</v>
      </c>
      <c r="AK70" s="64">
        <v>0</v>
      </c>
      <c r="AL70" s="64">
        <v>0</v>
      </c>
      <c r="AM70" s="64">
        <v>1140281.4974</v>
      </c>
      <c r="AN70" s="65">
        <v>103809.35740000001</v>
      </c>
      <c r="AO70" s="66">
        <v>195528.48054327999</v>
      </c>
      <c r="AP70" s="128">
        <f>+N70-'Приложение №2'!E79</f>
        <v>0</v>
      </c>
      <c r="AQ70" s="23">
        <v>945052.78</v>
      </c>
      <c r="AR70" s="25">
        <f>+(K70*10+L70*20)*12*0.85</f>
        <v>253510.8</v>
      </c>
      <c r="AS70" s="25">
        <f>+(K70*10+L70*20)*12*30</f>
        <v>8947440</v>
      </c>
      <c r="AT70" s="127">
        <f t="shared" si="12"/>
        <v>-8947440</v>
      </c>
      <c r="AW70" s="63">
        <f t="shared" si="13"/>
        <v>784502.32414875994</v>
      </c>
      <c r="AX70" s="64"/>
      <c r="AY70" s="64"/>
      <c r="AZ70" s="64">
        <v>727596.98</v>
      </c>
      <c r="BA70" s="64"/>
      <c r="BB70" s="64"/>
      <c r="BC70" s="64"/>
      <c r="BD70" s="64"/>
      <c r="BE70" s="64">
        <v>0</v>
      </c>
      <c r="BF70" s="64">
        <v>0</v>
      </c>
      <c r="BG70" s="64">
        <v>0</v>
      </c>
      <c r="BH70" s="64">
        <v>0</v>
      </c>
      <c r="BI70" s="64">
        <v>0</v>
      </c>
      <c r="BJ70" s="64"/>
      <c r="BK70" s="65"/>
      <c r="BL70" s="66">
        <v>56905.344148760007</v>
      </c>
    </row>
    <row r="71" spans="1:64" x14ac:dyDescent="0.25">
      <c r="A71" s="122">
        <f t="shared" si="14"/>
        <v>54</v>
      </c>
      <c r="B71" s="62">
        <f t="shared" si="15"/>
        <v>54</v>
      </c>
      <c r="C71" s="62" t="s">
        <v>52</v>
      </c>
      <c r="D71" s="62" t="s">
        <v>689</v>
      </c>
      <c r="E71" s="123">
        <v>1963</v>
      </c>
      <c r="F71" s="123">
        <v>2013</v>
      </c>
      <c r="G71" s="123" t="s">
        <v>43</v>
      </c>
      <c r="H71" s="123">
        <v>4</v>
      </c>
      <c r="I71" s="123">
        <v>3</v>
      </c>
      <c r="J71" s="64">
        <v>2328.4</v>
      </c>
      <c r="K71" s="64">
        <v>1950.9</v>
      </c>
      <c r="L71" s="64">
        <v>377.5</v>
      </c>
      <c r="M71" s="124">
        <v>49</v>
      </c>
      <c r="N71" s="63">
        <f t="shared" si="27"/>
        <v>4592465.8816174399</v>
      </c>
      <c r="O71" s="64"/>
      <c r="P71" s="65"/>
      <c r="Q71" s="65"/>
      <c r="R71" s="65">
        <f>+'Приложение №2'!E80-'Приложение №1'!P71-'Приложение №1'!S71</f>
        <v>761274.89161743969</v>
      </c>
      <c r="S71" s="65">
        <v>3831190.99</v>
      </c>
      <c r="T71" s="64">
        <f>+'Приложение №2'!E80-'Приложение №1'!P71-'Приложение №1'!Q71-'Приложение №1'!R71-'Приложение №1'!S71</f>
        <v>0</v>
      </c>
      <c r="U71" s="65">
        <f t="shared" si="28"/>
        <v>1972.3698168774436</v>
      </c>
      <c r="V71" s="65">
        <f t="shared" si="28"/>
        <v>1972.3698168774436</v>
      </c>
      <c r="W71" s="126">
        <v>2022</v>
      </c>
      <c r="X71" s="127" t="e">
        <f>+#REF!-'[1]Приложение №1'!$P1409</f>
        <v>#REF!</v>
      </c>
      <c r="Z71" s="63">
        <f t="shared" si="29"/>
        <v>11906775.319999998</v>
      </c>
      <c r="AA71" s="64">
        <v>4786275.2192018395</v>
      </c>
      <c r="AB71" s="64">
        <v>1705546.6285494</v>
      </c>
      <c r="AC71" s="64">
        <v>1781916.7351927198</v>
      </c>
      <c r="AD71" s="64">
        <v>1115592.5413768801</v>
      </c>
      <c r="AE71" s="64">
        <v>682560.24163362011</v>
      </c>
      <c r="AF71" s="64"/>
      <c r="AG71" s="64">
        <v>183662.48366172001</v>
      </c>
      <c r="AH71" s="64">
        <v>0</v>
      </c>
      <c r="AI71" s="64">
        <v>0</v>
      </c>
      <c r="AJ71" s="64">
        <v>0</v>
      </c>
      <c r="AK71" s="64">
        <v>0</v>
      </c>
      <c r="AL71" s="64">
        <v>0</v>
      </c>
      <c r="AM71" s="64">
        <v>1307885.5255</v>
      </c>
      <c r="AN71" s="65">
        <v>119067.75319999999</v>
      </c>
      <c r="AO71" s="66">
        <v>224268.19168382001</v>
      </c>
      <c r="AP71" s="128">
        <f>+N71-'Приложение №2'!E80</f>
        <v>0</v>
      </c>
      <c r="AQ71" s="23">
        <v>1234380.76</v>
      </c>
      <c r="AR71" s="25">
        <f>+(K71*10+L71*20)*12*0.85</f>
        <v>276001.8</v>
      </c>
      <c r="AS71" s="25">
        <f>+(K71*10+L71*20)*12*30</f>
        <v>9741240</v>
      </c>
      <c r="AT71" s="127">
        <f t="shared" si="12"/>
        <v>-5910049.0099999998</v>
      </c>
      <c r="AW71" s="63">
        <f t="shared" si="13"/>
        <v>4592465.8816174399</v>
      </c>
      <c r="AX71" s="64">
        <v>2728315.47</v>
      </c>
      <c r="AY71" s="64">
        <v>1047486.37</v>
      </c>
      <c r="AZ71" s="64">
        <v>607322.06000000006</v>
      </c>
      <c r="BA71" s="64"/>
      <c r="BB71" s="64"/>
      <c r="BC71" s="64"/>
      <c r="BD71" s="64"/>
      <c r="BE71" s="64">
        <v>0</v>
      </c>
      <c r="BF71" s="64">
        <v>0</v>
      </c>
      <c r="BG71" s="64">
        <v>0</v>
      </c>
      <c r="BH71" s="64">
        <v>0</v>
      </c>
      <c r="BI71" s="64">
        <v>0</v>
      </c>
      <c r="BJ71" s="64"/>
      <c r="BK71" s="65"/>
      <c r="BL71" s="66">
        <v>209341.98161743997</v>
      </c>
    </row>
    <row r="72" spans="1:64" x14ac:dyDescent="0.25">
      <c r="A72" s="122">
        <f t="shared" si="14"/>
        <v>55</v>
      </c>
      <c r="B72" s="62">
        <f t="shared" si="15"/>
        <v>55</v>
      </c>
      <c r="C72" s="62" t="s">
        <v>52</v>
      </c>
      <c r="D72" s="62" t="s">
        <v>1014</v>
      </c>
      <c r="E72" s="123">
        <v>1989</v>
      </c>
      <c r="F72" s="123">
        <v>2017</v>
      </c>
      <c r="G72" s="123" t="s">
        <v>43</v>
      </c>
      <c r="H72" s="123">
        <v>9</v>
      </c>
      <c r="I72" s="123">
        <v>3</v>
      </c>
      <c r="J72" s="64">
        <v>7106.9</v>
      </c>
      <c r="K72" s="64">
        <v>6247.4</v>
      </c>
      <c r="L72" s="64">
        <v>0</v>
      </c>
      <c r="M72" s="124">
        <v>249</v>
      </c>
      <c r="N72" s="63">
        <f t="shared" si="27"/>
        <v>2718733.1342166201</v>
      </c>
      <c r="O72" s="64"/>
      <c r="P72" s="65"/>
      <c r="Q72" s="65"/>
      <c r="R72" s="65">
        <f>+'Приложение №2'!E81-'Приложение №1'!S72</f>
        <v>1710288.97421662</v>
      </c>
      <c r="S72" s="65">
        <v>1008444.16</v>
      </c>
      <c r="T72" s="64">
        <f>+'Приложение №2'!E81-'Приложение №1'!P72-'Приложение №1'!Q72-'Приложение №1'!R72-'Приложение №1'!S72</f>
        <v>0</v>
      </c>
      <c r="U72" s="65">
        <f t="shared" si="28"/>
        <v>435.17833566229478</v>
      </c>
      <c r="V72" s="65">
        <f t="shared" si="28"/>
        <v>435.17833566229478</v>
      </c>
      <c r="W72" s="126">
        <v>2022</v>
      </c>
      <c r="X72" s="127" t="e">
        <f>+#REF!-'[1]Приложение №1'!$P366</f>
        <v>#REF!</v>
      </c>
      <c r="Z72" s="63">
        <f t="shared" si="29"/>
        <v>25881031.239999995</v>
      </c>
      <c r="AA72" s="64"/>
      <c r="AB72" s="64"/>
      <c r="AC72" s="64"/>
      <c r="AD72" s="64"/>
      <c r="AE72" s="64">
        <v>0</v>
      </c>
      <c r="AF72" s="64"/>
      <c r="AG72" s="64"/>
      <c r="AH72" s="64">
        <v>0</v>
      </c>
      <c r="AI72" s="64"/>
      <c r="AJ72" s="64">
        <v>0</v>
      </c>
      <c r="AK72" s="64">
        <v>25881031.239999995</v>
      </c>
      <c r="AL72" s="64">
        <v>0</v>
      </c>
      <c r="AM72" s="64"/>
      <c r="AN72" s="65"/>
      <c r="AO72" s="66"/>
      <c r="AP72" s="128">
        <f>+N72-'Приложение №2'!E81</f>
        <v>0</v>
      </c>
      <c r="AQ72" s="23">
        <v>2787898.61</v>
      </c>
      <c r="AR72" s="25">
        <f>+(K72*13.29+L72*22.52)*12*0.85</f>
        <v>846885.04919999989</v>
      </c>
      <c r="AS72" s="25">
        <f>+(K72*13.29+L72*22.52)*12*30-131853.4</f>
        <v>29758207.16</v>
      </c>
      <c r="AT72" s="127">
        <f t="shared" si="12"/>
        <v>-28749763</v>
      </c>
      <c r="AW72" s="63">
        <f t="shared" si="13"/>
        <v>2718733.1342166201</v>
      </c>
      <c r="AX72" s="64"/>
      <c r="AY72" s="64">
        <v>0</v>
      </c>
      <c r="AZ72" s="64"/>
      <c r="BA72" s="64">
        <v>1827661.8</v>
      </c>
      <c r="BB72" s="64">
        <v>0</v>
      </c>
      <c r="BC72" s="64"/>
      <c r="BD72" s="64"/>
      <c r="BE72" s="64">
        <v>0</v>
      </c>
      <c r="BF72" s="64"/>
      <c r="BG72" s="64">
        <v>0</v>
      </c>
      <c r="BH72" s="64"/>
      <c r="BI72" s="64">
        <v>0</v>
      </c>
      <c r="BJ72" s="64"/>
      <c r="BK72" s="65"/>
      <c r="BL72" s="66">
        <v>891071.33421662007</v>
      </c>
    </row>
    <row r="73" spans="1:64" x14ac:dyDescent="0.25">
      <c r="A73" s="122">
        <f t="shared" si="14"/>
        <v>56</v>
      </c>
      <c r="B73" s="62">
        <f t="shared" si="15"/>
        <v>56</v>
      </c>
      <c r="C73" s="62" t="s">
        <v>52</v>
      </c>
      <c r="D73" s="62" t="s">
        <v>1015</v>
      </c>
      <c r="E73" s="123">
        <v>1989</v>
      </c>
      <c r="F73" s="123">
        <v>2017</v>
      </c>
      <c r="G73" s="123" t="s">
        <v>43</v>
      </c>
      <c r="H73" s="123">
        <v>9</v>
      </c>
      <c r="I73" s="123">
        <v>3</v>
      </c>
      <c r="J73" s="64">
        <v>8049.4</v>
      </c>
      <c r="K73" s="64">
        <v>6639.6</v>
      </c>
      <c r="L73" s="64">
        <v>0</v>
      </c>
      <c r="M73" s="124">
        <v>258</v>
      </c>
      <c r="N73" s="63">
        <f t="shared" si="27"/>
        <v>3385337.9774930598</v>
      </c>
      <c r="O73" s="64"/>
      <c r="P73" s="65"/>
      <c r="Q73" s="65"/>
      <c r="R73" s="65"/>
      <c r="S73" s="65">
        <f>+'Приложение №2'!E82-'Приложение №1'!P73-'Приложение №1'!Q73-'Приложение №1'!R73</f>
        <v>3385337.9774930598</v>
      </c>
      <c r="T73" s="64">
        <f>+'Приложение №2'!E82-'Приложение №1'!P73-'Приложение №1'!Q73-'Приложение №1'!R73-'Приложение №1'!S73</f>
        <v>0</v>
      </c>
      <c r="U73" s="65">
        <f t="shared" si="28"/>
        <v>509.87077195810889</v>
      </c>
      <c r="V73" s="65">
        <f t="shared" si="28"/>
        <v>509.87077195810889</v>
      </c>
      <c r="W73" s="126">
        <v>2022</v>
      </c>
      <c r="X73" s="127" t="e">
        <f>+#REF!-'[1]Приложение №1'!$P1010</f>
        <v>#REF!</v>
      </c>
      <c r="Z73" s="63">
        <f t="shared" si="29"/>
        <v>34535107.586130939</v>
      </c>
      <c r="AA73" s="64">
        <v>9503098.7698319387</v>
      </c>
      <c r="AB73" s="64">
        <v>0</v>
      </c>
      <c r="AC73" s="64">
        <v>6138860.8976629199</v>
      </c>
      <c r="AD73" s="64">
        <v>2958309.3156556799</v>
      </c>
      <c r="AE73" s="64">
        <v>0</v>
      </c>
      <c r="AF73" s="64"/>
      <c r="AG73" s="64">
        <v>715245.76767839992</v>
      </c>
      <c r="AH73" s="64">
        <v>0</v>
      </c>
      <c r="AI73" s="64">
        <v>5352142.2195780007</v>
      </c>
      <c r="AJ73" s="64">
        <v>0</v>
      </c>
      <c r="AK73" s="64"/>
      <c r="AL73" s="64">
        <v>0</v>
      </c>
      <c r="AM73" s="64">
        <v>7589459.6136000007</v>
      </c>
      <c r="AN73" s="65">
        <v>782532.36640000006</v>
      </c>
      <c r="AO73" s="66">
        <v>1495458.6357239999</v>
      </c>
      <c r="AP73" s="128">
        <f>+N73-'Приложение №2'!E82</f>
        <v>0</v>
      </c>
      <c r="AQ73" s="23">
        <v>4261157.78</v>
      </c>
      <c r="AR73" s="25">
        <f>+(K73*13.29+L73*22.52)*12*0.85</f>
        <v>900050.89679999999</v>
      </c>
      <c r="AS73" s="25">
        <f>+(K73*13.29+L73*22.52)*12*30-14694406.85</f>
        <v>17072095.390000001</v>
      </c>
      <c r="AT73" s="127">
        <f t="shared" si="12"/>
        <v>-13686757.412506942</v>
      </c>
      <c r="AW73" s="63">
        <f t="shared" si="13"/>
        <v>3385337.9774930598</v>
      </c>
      <c r="AX73" s="64"/>
      <c r="AY73" s="64">
        <v>0</v>
      </c>
      <c r="AZ73" s="64"/>
      <c r="BA73" s="64"/>
      <c r="BB73" s="64">
        <v>0</v>
      </c>
      <c r="BC73" s="64"/>
      <c r="BD73" s="64"/>
      <c r="BE73" s="64">
        <v>0</v>
      </c>
      <c r="BF73" s="64">
        <v>2845906.28</v>
      </c>
      <c r="BG73" s="64">
        <v>0</v>
      </c>
      <c r="BH73" s="64"/>
      <c r="BI73" s="64">
        <v>0</v>
      </c>
      <c r="BJ73" s="64"/>
      <c r="BK73" s="65"/>
      <c r="BL73" s="66">
        <v>539431.69749306003</v>
      </c>
    </row>
    <row r="74" spans="1:64" x14ac:dyDescent="0.25">
      <c r="A74" s="122">
        <f t="shared" si="14"/>
        <v>57</v>
      </c>
      <c r="B74" s="62">
        <f t="shared" si="15"/>
        <v>57</v>
      </c>
      <c r="C74" s="62" t="s">
        <v>52</v>
      </c>
      <c r="D74" s="62" t="s">
        <v>1016</v>
      </c>
      <c r="E74" s="123">
        <v>1994</v>
      </c>
      <c r="F74" s="123">
        <v>2013</v>
      </c>
      <c r="G74" s="123" t="s">
        <v>43</v>
      </c>
      <c r="H74" s="123">
        <v>9</v>
      </c>
      <c r="I74" s="123">
        <v>3</v>
      </c>
      <c r="J74" s="64">
        <v>7891.7</v>
      </c>
      <c r="K74" s="64">
        <v>6600.8</v>
      </c>
      <c r="L74" s="64">
        <v>0</v>
      </c>
      <c r="M74" s="124">
        <v>291</v>
      </c>
      <c r="N74" s="63">
        <f t="shared" si="27"/>
        <v>6382437.5058791805</v>
      </c>
      <c r="O74" s="64"/>
      <c r="P74" s="65"/>
      <c r="Q74" s="65"/>
      <c r="R74" s="65">
        <f>+AQ74+AR74</f>
        <v>1668103.1164000002</v>
      </c>
      <c r="S74" s="65">
        <f>+'Приложение №2'!E83-'Приложение №1'!R74-P74</f>
        <v>4714334.3894791808</v>
      </c>
      <c r="T74" s="64">
        <f>+'Приложение №2'!E83-'Приложение №1'!P74-'Приложение №1'!Q74-'Приложение №1'!R74-'Приложение №1'!S74</f>
        <v>0</v>
      </c>
      <c r="U74" s="65">
        <f t="shared" si="28"/>
        <v>966.91878346248643</v>
      </c>
      <c r="V74" s="65">
        <f t="shared" si="28"/>
        <v>966.91878346248643</v>
      </c>
      <c r="W74" s="126">
        <v>2022</v>
      </c>
      <c r="Z74" s="63">
        <f t="shared" si="29"/>
        <v>8703397.3200000003</v>
      </c>
      <c r="AA74" s="64"/>
      <c r="AB74" s="65"/>
      <c r="AC74" s="64"/>
      <c r="AD74" s="64"/>
      <c r="AE74" s="65">
        <v>0</v>
      </c>
      <c r="AF74" s="65">
        <v>0</v>
      </c>
      <c r="AG74" s="65"/>
      <c r="AH74" s="65">
        <v>8628684.8600000013</v>
      </c>
      <c r="AI74" s="64"/>
      <c r="AJ74" s="65">
        <v>0</v>
      </c>
      <c r="AK74" s="64"/>
      <c r="AL74" s="65">
        <v>0</v>
      </c>
      <c r="AM74" s="64">
        <v>55020.369999999995</v>
      </c>
      <c r="AN74" s="64">
        <v>19692.09</v>
      </c>
      <c r="AO74" s="96"/>
      <c r="AP74" s="128">
        <f>+N74-'Приложение №2'!E83</f>
        <v>0</v>
      </c>
      <c r="AQ74" s="23">
        <f>4161512.94-301266.52-3086934.55</f>
        <v>773311.87000000011</v>
      </c>
      <c r="AR74" s="25">
        <f>+(K74*13.29+L74*22.52)*12*0.85</f>
        <v>894791.24639999995</v>
      </c>
      <c r="AS74" s="25">
        <f>+(K74*13.29+L74*22.52)*12*30-1198680.53-8354818.57</f>
        <v>22027368.419999998</v>
      </c>
      <c r="AT74" s="127">
        <f t="shared" si="12"/>
        <v>-17313034.030520819</v>
      </c>
      <c r="AW74" s="63">
        <f t="shared" si="13"/>
        <v>6382437.5058791805</v>
      </c>
      <c r="AX74" s="64"/>
      <c r="AY74" s="64">
        <v>0</v>
      </c>
      <c r="AZ74" s="71"/>
      <c r="BA74" s="71"/>
      <c r="BB74" s="64">
        <v>0</v>
      </c>
      <c r="BC74" s="64"/>
      <c r="BD74" s="64"/>
      <c r="BE74" s="64">
        <v>0</v>
      </c>
      <c r="BF74" s="64">
        <v>3018526.85</v>
      </c>
      <c r="BG74" s="64">
        <v>0</v>
      </c>
      <c r="BH74" s="64"/>
      <c r="BI74" s="64">
        <v>0</v>
      </c>
      <c r="BJ74" s="64">
        <v>2550189.8570000003</v>
      </c>
      <c r="BK74" s="65">
        <f>278424.5693</f>
        <v>278424.56929999997</v>
      </c>
      <c r="BL74" s="66">
        <v>535296.22957918001</v>
      </c>
    </row>
    <row r="75" spans="1:64" x14ac:dyDescent="0.25">
      <c r="A75" s="122">
        <f t="shared" si="14"/>
        <v>58</v>
      </c>
      <c r="B75" s="62">
        <f t="shared" si="15"/>
        <v>58</v>
      </c>
      <c r="C75" s="62" t="s">
        <v>52</v>
      </c>
      <c r="D75" s="62" t="s">
        <v>690</v>
      </c>
      <c r="E75" s="123">
        <v>1987</v>
      </c>
      <c r="F75" s="123">
        <v>2013</v>
      </c>
      <c r="G75" s="123" t="s">
        <v>43</v>
      </c>
      <c r="H75" s="123">
        <v>3</v>
      </c>
      <c r="I75" s="123">
        <v>3</v>
      </c>
      <c r="J75" s="64">
        <v>1395.8</v>
      </c>
      <c r="K75" s="64">
        <v>1268</v>
      </c>
      <c r="L75" s="64">
        <v>0</v>
      </c>
      <c r="M75" s="124">
        <v>63</v>
      </c>
      <c r="N75" s="95">
        <f t="shared" si="27"/>
        <v>9734596.8718827199</v>
      </c>
      <c r="O75" s="64"/>
      <c r="P75" s="72"/>
      <c r="Q75" s="65"/>
      <c r="R75" s="65">
        <v>412386.65</v>
      </c>
      <c r="S75" s="65">
        <f>+'Приложение №2'!E84-'Приложение №1'!P75-'Приложение №1'!T75-'Приложение №1'!R75</f>
        <v>5662093.7818827191</v>
      </c>
      <c r="T75" s="64">
        <v>3660116.4400000004</v>
      </c>
      <c r="U75" s="64">
        <f t="shared" si="28"/>
        <v>7677.1268705699686</v>
      </c>
      <c r="V75" s="64">
        <f t="shared" si="28"/>
        <v>7677.1268705699686</v>
      </c>
      <c r="W75" s="126">
        <v>2022</v>
      </c>
      <c r="X75" s="127" t="e">
        <f>+#REF!-'[1]Приложение №1'!$P449</f>
        <v>#REF!</v>
      </c>
      <c r="Z75" s="63">
        <f t="shared" si="29"/>
        <v>20424271.119999997</v>
      </c>
      <c r="AA75" s="64">
        <v>3880461.3812546395</v>
      </c>
      <c r="AB75" s="64">
        <v>2361201.0958737601</v>
      </c>
      <c r="AC75" s="64">
        <v>1112617.8937948202</v>
      </c>
      <c r="AD75" s="64">
        <v>948184.97499599995</v>
      </c>
      <c r="AE75" s="64">
        <v>0</v>
      </c>
      <c r="AF75" s="64"/>
      <c r="AG75" s="64">
        <v>395993.45985528</v>
      </c>
      <c r="AH75" s="64">
        <v>0</v>
      </c>
      <c r="AI75" s="64">
        <v>0</v>
      </c>
      <c r="AJ75" s="64">
        <v>0</v>
      </c>
      <c r="AK75" s="64">
        <v>9178717.215051299</v>
      </c>
      <c r="AL75" s="64">
        <v>0</v>
      </c>
      <c r="AM75" s="64">
        <v>1951914.7557999999</v>
      </c>
      <c r="AN75" s="65">
        <v>204242.71119999999</v>
      </c>
      <c r="AO75" s="66">
        <v>390937.63217419997</v>
      </c>
      <c r="AP75" s="128">
        <f>+N75-'Приложение №2'!E84</f>
        <v>0</v>
      </c>
      <c r="AQ75" s="23">
        <v>502354.09</v>
      </c>
      <c r="AR75" s="25">
        <f t="shared" ref="AR75:AR86" si="30">+(K75*10+L75*20)*12*0.85</f>
        <v>129336</v>
      </c>
      <c r="AS75" s="25">
        <f>+(K75*10+L75*20)*12*30</f>
        <v>4564800</v>
      </c>
      <c r="AT75" s="127">
        <f t="shared" si="12"/>
        <v>1097293.7818827191</v>
      </c>
      <c r="AW75" s="63">
        <f t="shared" si="13"/>
        <v>9734596.8718827199</v>
      </c>
      <c r="AX75" s="64"/>
      <c r="AY75" s="64"/>
      <c r="AZ75" s="64"/>
      <c r="BA75" s="64"/>
      <c r="BB75" s="64">
        <v>0</v>
      </c>
      <c r="BC75" s="64"/>
      <c r="BD75" s="64"/>
      <c r="BE75" s="64">
        <v>0</v>
      </c>
      <c r="BF75" s="64">
        <v>0</v>
      </c>
      <c r="BG75" s="64">
        <v>0</v>
      </c>
      <c r="BH75" s="64">
        <v>9311700.5</v>
      </c>
      <c r="BI75" s="64">
        <v>0</v>
      </c>
      <c r="BJ75" s="64"/>
      <c r="BK75" s="65"/>
      <c r="BL75" s="66">
        <v>422896.37188271998</v>
      </c>
    </row>
    <row r="76" spans="1:64" x14ac:dyDescent="0.25">
      <c r="A76" s="122">
        <f t="shared" si="14"/>
        <v>59</v>
      </c>
      <c r="B76" s="62">
        <f t="shared" si="15"/>
        <v>59</v>
      </c>
      <c r="C76" s="62" t="s">
        <v>52</v>
      </c>
      <c r="D76" s="62" t="s">
        <v>1017</v>
      </c>
      <c r="E76" s="123">
        <v>1982</v>
      </c>
      <c r="F76" s="123">
        <v>2005</v>
      </c>
      <c r="G76" s="123" t="s">
        <v>43</v>
      </c>
      <c r="H76" s="123">
        <v>4</v>
      </c>
      <c r="I76" s="123">
        <v>3</v>
      </c>
      <c r="J76" s="64">
        <v>4260.17</v>
      </c>
      <c r="K76" s="64">
        <v>3632.44</v>
      </c>
      <c r="L76" s="64">
        <v>448.5</v>
      </c>
      <c r="M76" s="124">
        <v>282</v>
      </c>
      <c r="N76" s="95">
        <f t="shared" si="27"/>
        <v>34443200.645936362</v>
      </c>
      <c r="O76" s="64"/>
      <c r="P76" s="65">
        <v>9795460.2799999993</v>
      </c>
      <c r="Q76" s="65"/>
      <c r="R76" s="65">
        <f>+AQ76+AR76</f>
        <v>2404077.6800000002</v>
      </c>
      <c r="S76" s="65">
        <f>+'Приложение №2'!E85-'Приложение №1'!P76-'Приложение №1'!Q76-'Приложение №1'!R76</f>
        <v>22243662.685936362</v>
      </c>
      <c r="T76" s="64">
        <f>+'Приложение №2'!E85-'Приложение №1'!P76-'Приложение №1'!Q76-'Приложение №1'!R76-'Приложение №1'!S76</f>
        <v>0</v>
      </c>
      <c r="U76" s="65">
        <f t="shared" si="28"/>
        <v>8440.0164290424163</v>
      </c>
      <c r="V76" s="65">
        <f t="shared" si="28"/>
        <v>8440.0164290424163</v>
      </c>
      <c r="W76" s="126">
        <v>2022</v>
      </c>
      <c r="X76" s="127" t="e">
        <f>+#REF!-'[1]Приложение №1'!$P844</f>
        <v>#REF!</v>
      </c>
      <c r="Z76" s="63">
        <f t="shared" si="29"/>
        <v>64128906.539999999</v>
      </c>
      <c r="AA76" s="64">
        <v>9690780.7754885387</v>
      </c>
      <c r="AB76" s="64">
        <v>3453223.58397828</v>
      </c>
      <c r="AC76" s="64">
        <v>3607850.2836289201</v>
      </c>
      <c r="AD76" s="64">
        <v>2258742.3947533201</v>
      </c>
      <c r="AE76" s="64">
        <v>0</v>
      </c>
      <c r="AF76" s="64"/>
      <c r="AG76" s="64">
        <v>371861.79313164001</v>
      </c>
      <c r="AH76" s="64">
        <v>0</v>
      </c>
      <c r="AI76" s="64">
        <v>17716221.746810999</v>
      </c>
      <c r="AJ76" s="64">
        <v>0</v>
      </c>
      <c r="AK76" s="64">
        <v>9198344.3463416398</v>
      </c>
      <c r="AL76" s="64">
        <v>9921491.0771583598</v>
      </c>
      <c r="AM76" s="64">
        <v>6039716.3901000004</v>
      </c>
      <c r="AN76" s="65">
        <v>641289.06539999996</v>
      </c>
      <c r="AO76" s="66">
        <v>1229385.0832082999</v>
      </c>
      <c r="AP76" s="128">
        <f>+N76-'Приложение №2'!E85</f>
        <v>0</v>
      </c>
      <c r="AQ76" s="23">
        <v>1942074.8</v>
      </c>
      <c r="AR76" s="25">
        <f t="shared" si="30"/>
        <v>462002.88</v>
      </c>
      <c r="AS76" s="25">
        <f>+(K76*10+L76*20)*12*30</f>
        <v>16305984.000000002</v>
      </c>
      <c r="AT76" s="127">
        <f t="shared" si="12"/>
        <v>5937678.6859363597</v>
      </c>
      <c r="AW76" s="63">
        <f t="shared" si="13"/>
        <v>34443200.645936362</v>
      </c>
      <c r="AX76" s="64">
        <v>6954265.3799999999</v>
      </c>
      <c r="AY76" s="64">
        <v>2374323.58</v>
      </c>
      <c r="AZ76" s="64">
        <v>3305645.72</v>
      </c>
      <c r="BA76" s="64">
        <v>2650517.1800000002</v>
      </c>
      <c r="BB76" s="64"/>
      <c r="BC76" s="64"/>
      <c r="BD76" s="64"/>
      <c r="BE76" s="64"/>
      <c r="BF76" s="64">
        <v>7951460.7199999997</v>
      </c>
      <c r="BG76" s="64"/>
      <c r="BH76" s="64"/>
      <c r="BI76" s="64">
        <v>9695977.5800000001</v>
      </c>
      <c r="BJ76" s="64">
        <v>328083.39630000002</v>
      </c>
      <c r="BK76" s="65">
        <v>44553.206300000005</v>
      </c>
      <c r="BL76" s="66">
        <v>1138373.8833363601</v>
      </c>
    </row>
    <row r="77" spans="1:64" x14ac:dyDescent="0.25">
      <c r="A77" s="122">
        <f t="shared" si="14"/>
        <v>60</v>
      </c>
      <c r="B77" s="62">
        <f t="shared" si="15"/>
        <v>60</v>
      </c>
      <c r="C77" s="62" t="s">
        <v>52</v>
      </c>
      <c r="D77" s="62" t="s">
        <v>691</v>
      </c>
      <c r="E77" s="123">
        <v>1976</v>
      </c>
      <c r="F77" s="123">
        <v>2013</v>
      </c>
      <c r="G77" s="123" t="s">
        <v>43</v>
      </c>
      <c r="H77" s="123">
        <v>4</v>
      </c>
      <c r="I77" s="123">
        <v>4</v>
      </c>
      <c r="J77" s="64">
        <v>2991.3</v>
      </c>
      <c r="K77" s="64">
        <v>2484.4</v>
      </c>
      <c r="L77" s="64">
        <v>250.6</v>
      </c>
      <c r="M77" s="124">
        <v>122</v>
      </c>
      <c r="N77" s="95">
        <f t="shared" si="27"/>
        <v>1171020.99</v>
      </c>
      <c r="O77" s="64"/>
      <c r="P77" s="65"/>
      <c r="Q77" s="65"/>
      <c r="R77" s="65">
        <v>230063.63</v>
      </c>
      <c r="S77" s="65">
        <f>701319.39+239637.97</f>
        <v>940957.36</v>
      </c>
      <c r="T77" s="64">
        <f>+'Приложение №2'!E86-'Приложение №1'!P77-'Приложение №1'!Q77-'Приложение №1'!R77-'Приложение №1'!S77</f>
        <v>0</v>
      </c>
      <c r="U77" s="65">
        <f t="shared" si="28"/>
        <v>428.16123948811702</v>
      </c>
      <c r="V77" s="65">
        <f t="shared" si="28"/>
        <v>428.16123948811702</v>
      </c>
      <c r="W77" s="126">
        <v>2022</v>
      </c>
      <c r="X77" s="127" t="e">
        <f>+#REF!-'[1]Приложение №1'!$P656</f>
        <v>#REF!</v>
      </c>
      <c r="Z77" s="63">
        <f t="shared" si="29"/>
        <v>37022548.278852001</v>
      </c>
      <c r="AA77" s="64">
        <v>6531079.8989818199</v>
      </c>
      <c r="AB77" s="64">
        <v>0</v>
      </c>
      <c r="AC77" s="64">
        <v>0</v>
      </c>
      <c r="AD77" s="64">
        <v>0</v>
      </c>
      <c r="AE77" s="64">
        <v>1171020.99</v>
      </c>
      <c r="AF77" s="64"/>
      <c r="AG77" s="64">
        <v>0</v>
      </c>
      <c r="AH77" s="64">
        <v>0</v>
      </c>
      <c r="AI77" s="64">
        <v>11939807.781027</v>
      </c>
      <c r="AJ77" s="64">
        <v>0</v>
      </c>
      <c r="AK77" s="64">
        <v>6199203.4736406608</v>
      </c>
      <c r="AL77" s="64">
        <v>6686566.5827221796</v>
      </c>
      <c r="AM77" s="64">
        <v>3445210.5711000003</v>
      </c>
      <c r="AN77" s="65">
        <v>359077.49579999998</v>
      </c>
      <c r="AO77" s="66">
        <v>690581.48558034003</v>
      </c>
      <c r="AP77" s="128">
        <f>+N77-'Приложение №2'!E86</f>
        <v>0</v>
      </c>
      <c r="AQ77" s="23">
        <v>1388531.28</v>
      </c>
      <c r="AR77" s="25">
        <f t="shared" si="30"/>
        <v>304531.20000000001</v>
      </c>
      <c r="AS77" s="25">
        <f>+(K77*10+L77*20)*12*30</f>
        <v>10748160</v>
      </c>
      <c r="AT77" s="127">
        <f t="shared" si="12"/>
        <v>-9807202.6400000006</v>
      </c>
      <c r="AW77" s="63">
        <f t="shared" si="13"/>
        <v>1171020.99</v>
      </c>
      <c r="AX77" s="64"/>
      <c r="AY77" s="64">
        <v>0</v>
      </c>
      <c r="AZ77" s="64">
        <v>0</v>
      </c>
      <c r="BA77" s="64">
        <v>0</v>
      </c>
      <c r="BB77" s="64">
        <v>1171020.99</v>
      </c>
      <c r="BC77" s="64"/>
      <c r="BD77" s="64"/>
      <c r="BE77" s="64">
        <v>0</v>
      </c>
      <c r="BF77" s="64"/>
      <c r="BG77" s="64">
        <v>0</v>
      </c>
      <c r="BH77" s="64"/>
      <c r="BI77" s="64"/>
      <c r="BJ77" s="64"/>
      <c r="BK77" s="65"/>
      <c r="BL77" s="66"/>
    </row>
    <row r="78" spans="1:64" x14ac:dyDescent="0.25">
      <c r="A78" s="122">
        <f t="shared" si="14"/>
        <v>61</v>
      </c>
      <c r="B78" s="62">
        <f t="shared" si="15"/>
        <v>61</v>
      </c>
      <c r="C78" s="62" t="s">
        <v>52</v>
      </c>
      <c r="D78" s="62" t="s">
        <v>1018</v>
      </c>
      <c r="E78" s="123">
        <v>1977</v>
      </c>
      <c r="F78" s="123">
        <v>1977</v>
      </c>
      <c r="G78" s="123" t="s">
        <v>43</v>
      </c>
      <c r="H78" s="123">
        <v>4</v>
      </c>
      <c r="I78" s="123">
        <v>6</v>
      </c>
      <c r="J78" s="64">
        <v>5672.9</v>
      </c>
      <c r="K78" s="64">
        <v>4964.7</v>
      </c>
      <c r="L78" s="64">
        <v>0</v>
      </c>
      <c r="M78" s="124">
        <v>207</v>
      </c>
      <c r="N78" s="63">
        <f t="shared" si="27"/>
        <v>20719813.758428805</v>
      </c>
      <c r="O78" s="64"/>
      <c r="P78" s="65">
        <v>3593219.09</v>
      </c>
      <c r="Q78" s="65"/>
      <c r="R78" s="65">
        <v>1638227</v>
      </c>
      <c r="S78" s="65">
        <f>+'Приложение №2'!E87-'Приложение №1'!P78-'Приложение №1'!R78-T78</f>
        <v>11618244.718428805</v>
      </c>
      <c r="T78" s="64">
        <v>3870122.95</v>
      </c>
      <c r="U78" s="65">
        <f t="shared" si="28"/>
        <v>4173.427147346024</v>
      </c>
      <c r="V78" s="65">
        <f t="shared" si="28"/>
        <v>4173.427147346024</v>
      </c>
      <c r="W78" s="126">
        <v>2022</v>
      </c>
      <c r="X78" s="127" t="e">
        <f>+#REF!-'[1]Приложение №1'!$P1019</f>
        <v>#REF!</v>
      </c>
      <c r="Z78" s="63">
        <f t="shared" si="29"/>
        <v>40803772.100000001</v>
      </c>
      <c r="AA78" s="64">
        <v>8274934.6457723388</v>
      </c>
      <c r="AB78" s="64">
        <v>4785620.9278290002</v>
      </c>
      <c r="AC78" s="64">
        <v>5058755.6557213198</v>
      </c>
      <c r="AD78" s="64">
        <v>3857344.1921599195</v>
      </c>
      <c r="AE78" s="64">
        <v>1540930.0457111399</v>
      </c>
      <c r="AF78" s="64"/>
      <c r="AG78" s="64">
        <v>411179.32298520009</v>
      </c>
      <c r="AH78" s="64">
        <v>0</v>
      </c>
      <c r="AI78" s="64">
        <v>0</v>
      </c>
      <c r="AJ78" s="64">
        <v>0</v>
      </c>
      <c r="AK78" s="64">
        <v>0</v>
      </c>
      <c r="AL78" s="64">
        <v>11247866.888920201</v>
      </c>
      <c r="AM78" s="64">
        <v>4449861.0098000001</v>
      </c>
      <c r="AN78" s="65">
        <v>408037.72100000002</v>
      </c>
      <c r="AO78" s="66">
        <v>769241.69010087999</v>
      </c>
      <c r="AP78" s="128">
        <f>+N78-'Приложение №2'!E87</f>
        <v>0</v>
      </c>
      <c r="AQ78" s="23">
        <f>2390424.58-114155.72</f>
        <v>2276268.86</v>
      </c>
      <c r="AR78" s="25">
        <f t="shared" si="30"/>
        <v>506399.39999999997</v>
      </c>
      <c r="AS78" s="25">
        <f>+(K78*10+L78*20)*12*30</f>
        <v>17872920</v>
      </c>
      <c r="AT78" s="127">
        <f t="shared" si="12"/>
        <v>-6254675.2815711945</v>
      </c>
      <c r="AW78" s="63">
        <f t="shared" si="13"/>
        <v>20719813.758428805</v>
      </c>
      <c r="AX78" s="64">
        <v>7847760.9900000002</v>
      </c>
      <c r="AY78" s="64"/>
      <c r="AZ78" s="64"/>
      <c r="BA78" s="64"/>
      <c r="BB78" s="64"/>
      <c r="BC78" s="64"/>
      <c r="BD78" s="64"/>
      <c r="BE78" s="64">
        <v>0</v>
      </c>
      <c r="BF78" s="64">
        <v>0</v>
      </c>
      <c r="BG78" s="64">
        <v>0</v>
      </c>
      <c r="BH78" s="64">
        <v>0</v>
      </c>
      <c r="BI78" s="64">
        <f>7597182.26+3870122.95</f>
        <v>11467305.210000001</v>
      </c>
      <c r="BJ78" s="64">
        <v>504570.49899999995</v>
      </c>
      <c r="BK78" s="65">
        <v>88504.399000000005</v>
      </c>
      <c r="BL78" s="66">
        <v>811672.66042880015</v>
      </c>
    </row>
    <row r="79" spans="1:64" x14ac:dyDescent="0.25">
      <c r="A79" s="122">
        <f t="shared" si="14"/>
        <v>62</v>
      </c>
      <c r="B79" s="62">
        <f t="shared" si="15"/>
        <v>62</v>
      </c>
      <c r="C79" s="62" t="s">
        <v>52</v>
      </c>
      <c r="D79" s="62" t="s">
        <v>1019</v>
      </c>
      <c r="E79" s="123">
        <v>1974</v>
      </c>
      <c r="F79" s="123">
        <v>2013</v>
      </c>
      <c r="G79" s="123" t="s">
        <v>43</v>
      </c>
      <c r="H79" s="123">
        <v>4</v>
      </c>
      <c r="I79" s="123">
        <v>4</v>
      </c>
      <c r="J79" s="64">
        <v>3890.5</v>
      </c>
      <c r="K79" s="64">
        <v>3406.6</v>
      </c>
      <c r="L79" s="64">
        <v>0</v>
      </c>
      <c r="M79" s="124">
        <v>175</v>
      </c>
      <c r="N79" s="95">
        <f t="shared" si="27"/>
        <v>15568933.82189</v>
      </c>
      <c r="O79" s="64"/>
      <c r="P79" s="65">
        <v>2144774.3499999996</v>
      </c>
      <c r="Q79" s="65"/>
      <c r="R79" s="65">
        <v>1186883.42</v>
      </c>
      <c r="S79" s="65">
        <f>+'Приложение №2'!E88-'Приложение №1'!P79-'Приложение №1'!Q79-'Приложение №1'!R79</f>
        <v>12237276.051890001</v>
      </c>
      <c r="T79" s="65">
        <f>+'Приложение №2'!E88-'Приложение №1'!P79-'Приложение №1'!R79-'Приложение №1'!S79</f>
        <v>0</v>
      </c>
      <c r="U79" s="64">
        <f t="shared" si="28"/>
        <v>4570.2265666324192</v>
      </c>
      <c r="V79" s="64">
        <f t="shared" si="28"/>
        <v>4570.2265666324192</v>
      </c>
      <c r="W79" s="126">
        <v>2022</v>
      </c>
      <c r="X79" s="127" t="e">
        <f>+#REF!-'[1]Приложение №1'!$P786</f>
        <v>#REF!</v>
      </c>
      <c r="Z79" s="63">
        <f t="shared" si="29"/>
        <v>24100395.781889997</v>
      </c>
      <c r="AA79" s="64">
        <v>0</v>
      </c>
      <c r="AB79" s="64">
        <v>0</v>
      </c>
      <c r="AC79" s="64">
        <v>0</v>
      </c>
      <c r="AD79" s="64">
        <v>0</v>
      </c>
      <c r="AE79" s="64">
        <v>1356671.24</v>
      </c>
      <c r="AF79" s="64"/>
      <c r="AG79" s="64">
        <v>0</v>
      </c>
      <c r="AH79" s="64">
        <v>0</v>
      </c>
      <c r="AI79" s="64">
        <v>0</v>
      </c>
      <c r="AJ79" s="64">
        <v>0</v>
      </c>
      <c r="AK79" s="64">
        <v>19641111.600080881</v>
      </c>
      <c r="AL79" s="64">
        <v>0</v>
      </c>
      <c r="AM79" s="64">
        <v>2439179.8219999997</v>
      </c>
      <c r="AN79" s="65">
        <v>227512.61719999998</v>
      </c>
      <c r="AO79" s="66">
        <v>435920.50260911998</v>
      </c>
      <c r="AP79" s="128">
        <f>+N79-'Приложение №2'!E88</f>
        <v>0</v>
      </c>
      <c r="AQ79" s="127">
        <f>1535272.52</f>
        <v>1535272.52</v>
      </c>
      <c r="AR79" s="25">
        <f t="shared" si="30"/>
        <v>347473.2</v>
      </c>
      <c r="AS79" s="25">
        <f>+(K79*10+L79*20)*12*30</f>
        <v>12263760</v>
      </c>
      <c r="AT79" s="127">
        <f t="shared" ref="AT79:AT143" si="31">+S79-AS79</f>
        <v>-26483.948109999299</v>
      </c>
      <c r="AW79" s="63">
        <f t="shared" si="13"/>
        <v>15568933.82189</v>
      </c>
      <c r="AX79" s="64">
        <v>0</v>
      </c>
      <c r="AY79" s="64">
        <v>0</v>
      </c>
      <c r="AZ79" s="64">
        <v>0</v>
      </c>
      <c r="BA79" s="64">
        <v>0</v>
      </c>
      <c r="BB79" s="64"/>
      <c r="BC79" s="64"/>
      <c r="BD79" s="64"/>
      <c r="BE79" s="64">
        <v>0</v>
      </c>
      <c r="BF79" s="64">
        <v>0</v>
      </c>
      <c r="BG79" s="64">
        <v>0</v>
      </c>
      <c r="BH79" s="64">
        <v>15562524.65</v>
      </c>
      <c r="BI79" s="64">
        <v>0</v>
      </c>
      <c r="BJ79" s="64"/>
      <c r="BK79" s="65"/>
      <c r="BL79" s="66">
        <v>6409.1718899999996</v>
      </c>
    </row>
    <row r="80" spans="1:64" x14ac:dyDescent="0.25">
      <c r="A80" s="122">
        <f t="shared" si="14"/>
        <v>63</v>
      </c>
      <c r="B80" s="62">
        <f t="shared" si="15"/>
        <v>63</v>
      </c>
      <c r="C80" s="62" t="s">
        <v>52</v>
      </c>
      <c r="D80" s="62" t="s">
        <v>1020</v>
      </c>
      <c r="E80" s="123">
        <v>1978</v>
      </c>
      <c r="F80" s="123">
        <v>2008</v>
      </c>
      <c r="G80" s="123" t="s">
        <v>43</v>
      </c>
      <c r="H80" s="123">
        <v>5</v>
      </c>
      <c r="I80" s="123">
        <v>4</v>
      </c>
      <c r="J80" s="64">
        <v>4887.2</v>
      </c>
      <c r="K80" s="64">
        <v>4152.5</v>
      </c>
      <c r="L80" s="64">
        <v>141.4</v>
      </c>
      <c r="M80" s="124">
        <v>187</v>
      </c>
      <c r="N80" s="63">
        <f t="shared" si="27"/>
        <v>14757670.589566819</v>
      </c>
      <c r="O80" s="64"/>
      <c r="P80" s="65"/>
      <c r="Q80" s="65"/>
      <c r="R80" s="65">
        <v>1507307.9899999998</v>
      </c>
      <c r="S80" s="65">
        <v>8730636.4800000004</v>
      </c>
      <c r="T80" s="64">
        <f>+'Приложение №2'!E89-'Приложение №1'!P80-'Приложение №1'!Q80-'Приложение №1'!R80-'Приложение №1'!S80</f>
        <v>4519726.1195668187</v>
      </c>
      <c r="U80" s="65">
        <f t="shared" si="28"/>
        <v>3436.8920071652392</v>
      </c>
      <c r="V80" s="65">
        <f t="shared" si="28"/>
        <v>3436.8920071652392</v>
      </c>
      <c r="W80" s="126">
        <v>2022</v>
      </c>
      <c r="X80" s="127" t="e">
        <f>+#REF!-'[1]Приложение №1'!$P1025</f>
        <v>#REF!</v>
      </c>
      <c r="Z80" s="63">
        <f t="shared" si="29"/>
        <v>48841397.922002405</v>
      </c>
      <c r="AA80" s="64"/>
      <c r="AB80" s="64">
        <v>4165477.2147311401</v>
      </c>
      <c r="AC80" s="64">
        <v>4403217.8352661803</v>
      </c>
      <c r="AD80" s="64">
        <v>3357491.0318031595</v>
      </c>
      <c r="AE80" s="64">
        <v>1341248.93566524</v>
      </c>
      <c r="AF80" s="64"/>
      <c r="AG80" s="64">
        <v>357896.73428460007</v>
      </c>
      <c r="AH80" s="64">
        <v>0</v>
      </c>
      <c r="AI80" s="64"/>
      <c r="AJ80" s="64">
        <v>0</v>
      </c>
      <c r="AK80" s="64">
        <v>24893551.051466998</v>
      </c>
      <c r="AL80" s="64"/>
      <c r="AM80" s="64">
        <v>8041636.4647000004</v>
      </c>
      <c r="AN80" s="65">
        <v>786561.17310000001</v>
      </c>
      <c r="AO80" s="66">
        <v>1494317.4809850804</v>
      </c>
      <c r="AP80" s="128">
        <f>+N80-'Приложение №2'!E89</f>
        <v>0</v>
      </c>
      <c r="AQ80" s="23">
        <v>1938809.74</v>
      </c>
      <c r="AR80" s="25">
        <f t="shared" si="30"/>
        <v>452400.6</v>
      </c>
      <c r="AS80" s="25">
        <f>+(K80*10+L80*20)*12*30-6800843.52</f>
        <v>9166236.4800000004</v>
      </c>
      <c r="AT80" s="127">
        <f t="shared" si="31"/>
        <v>-435600</v>
      </c>
      <c r="AW80" s="63">
        <f t="shared" si="13"/>
        <v>14757670.589566819</v>
      </c>
      <c r="AX80" s="64"/>
      <c r="AY80" s="64"/>
      <c r="AZ80" s="64">
        <v>1212218.3400000001</v>
      </c>
      <c r="BA80" s="64"/>
      <c r="BB80" s="64"/>
      <c r="BC80" s="64"/>
      <c r="BD80" s="64"/>
      <c r="BE80" s="64">
        <v>0</v>
      </c>
      <c r="BF80" s="64"/>
      <c r="BG80" s="64">
        <v>0</v>
      </c>
      <c r="BH80" s="64">
        <v>12904791.25</v>
      </c>
      <c r="BI80" s="64"/>
      <c r="BJ80" s="64"/>
      <c r="BK80" s="65"/>
      <c r="BL80" s="66">
        <v>640660.99956681998</v>
      </c>
    </row>
    <row r="81" spans="1:64" x14ac:dyDescent="0.25">
      <c r="A81" s="122">
        <f t="shared" si="14"/>
        <v>64</v>
      </c>
      <c r="B81" s="62">
        <f t="shared" si="15"/>
        <v>64</v>
      </c>
      <c r="C81" s="62" t="s">
        <v>52</v>
      </c>
      <c r="D81" s="62" t="s">
        <v>1021</v>
      </c>
      <c r="E81" s="123">
        <v>1979</v>
      </c>
      <c r="F81" s="123">
        <v>2008</v>
      </c>
      <c r="G81" s="123" t="s">
        <v>43</v>
      </c>
      <c r="H81" s="123">
        <v>5</v>
      </c>
      <c r="I81" s="123">
        <v>4</v>
      </c>
      <c r="J81" s="64">
        <v>4897.1000000000004</v>
      </c>
      <c r="K81" s="64">
        <v>4311.8999999999996</v>
      </c>
      <c r="L81" s="64">
        <v>0</v>
      </c>
      <c r="M81" s="124">
        <v>199</v>
      </c>
      <c r="N81" s="63">
        <f t="shared" si="27"/>
        <v>14905757.105931219</v>
      </c>
      <c r="O81" s="64"/>
      <c r="P81" s="65"/>
      <c r="Q81" s="65"/>
      <c r="R81" s="65">
        <v>1319980.6299999999</v>
      </c>
      <c r="S81" s="65">
        <f>+'Приложение №2'!E90-'Приложение №1'!R81-'Приложение №1'!T81</f>
        <v>7217514.8399999999</v>
      </c>
      <c r="T81" s="64">
        <v>6368261.6359312199</v>
      </c>
      <c r="U81" s="65">
        <f t="shared" si="28"/>
        <v>3456.8884032401538</v>
      </c>
      <c r="V81" s="65">
        <f t="shared" si="28"/>
        <v>3456.8884032401538</v>
      </c>
      <c r="W81" s="126">
        <v>2022</v>
      </c>
      <c r="X81" s="127" t="e">
        <f>+#REF!-'[1]Приложение №1'!$P1026</f>
        <v>#REF!</v>
      </c>
      <c r="Z81" s="63">
        <f t="shared" si="29"/>
        <v>66063234.670839608</v>
      </c>
      <c r="AA81" s="64">
        <v>7227671.0917319991</v>
      </c>
      <c r="AB81" s="64">
        <v>4179959.7862247396</v>
      </c>
      <c r="AC81" s="64">
        <v>4418526.9856534805</v>
      </c>
      <c r="AD81" s="64">
        <v>3369164.3891211599</v>
      </c>
      <c r="AE81" s="64">
        <v>1345912.20295434</v>
      </c>
      <c r="AF81" s="64"/>
      <c r="AG81" s="64">
        <v>359141.07311459997</v>
      </c>
      <c r="AH81" s="64">
        <v>0</v>
      </c>
      <c r="AI81" s="64"/>
      <c r="AJ81" s="64">
        <v>0</v>
      </c>
      <c r="AK81" s="64">
        <v>24980101.190715298</v>
      </c>
      <c r="AL81" s="64">
        <v>9824353.4120570999</v>
      </c>
      <c r="AM81" s="64">
        <v>8069595.7042000005</v>
      </c>
      <c r="AN81" s="65">
        <v>789295.89660000009</v>
      </c>
      <c r="AO81" s="66">
        <v>1499512.9384668807</v>
      </c>
      <c r="AP81" s="128">
        <f>+N81-'Приложение №2'!E90</f>
        <v>0</v>
      </c>
      <c r="AQ81" s="23">
        <v>2090807.65</v>
      </c>
      <c r="AR81" s="25">
        <f t="shared" si="30"/>
        <v>439813.8</v>
      </c>
      <c r="AS81" s="25">
        <f>+(K81*10+L81*20)*12*30-8305325.16</f>
        <v>7217514.8399999999</v>
      </c>
      <c r="AT81" s="127">
        <f t="shared" si="31"/>
        <v>0</v>
      </c>
      <c r="AW81" s="63">
        <f t="shared" si="13"/>
        <v>14905757.105931221</v>
      </c>
      <c r="AX81" s="64"/>
      <c r="AY81" s="64"/>
      <c r="AZ81" s="64">
        <v>1218340.6599999999</v>
      </c>
      <c r="BA81" s="64"/>
      <c r="BB81" s="64"/>
      <c r="BC81" s="64"/>
      <c r="BD81" s="64"/>
      <c r="BE81" s="64">
        <v>0</v>
      </c>
      <c r="BF81" s="64"/>
      <c r="BG81" s="64">
        <v>0</v>
      </c>
      <c r="BH81" s="64">
        <v>13044527.99</v>
      </c>
      <c r="BI81" s="64"/>
      <c r="BJ81" s="64"/>
      <c r="BK81" s="65"/>
      <c r="BL81" s="66">
        <v>642888.45593122009</v>
      </c>
    </row>
    <row r="82" spans="1:64" x14ac:dyDescent="0.25">
      <c r="A82" s="122">
        <f t="shared" si="14"/>
        <v>65</v>
      </c>
      <c r="B82" s="62">
        <f t="shared" si="15"/>
        <v>65</v>
      </c>
      <c r="C82" s="62" t="s">
        <v>52</v>
      </c>
      <c r="D82" s="62" t="s">
        <v>391</v>
      </c>
      <c r="E82" s="123">
        <v>1977</v>
      </c>
      <c r="F82" s="123">
        <v>2008</v>
      </c>
      <c r="G82" s="123" t="s">
        <v>43</v>
      </c>
      <c r="H82" s="123">
        <v>4</v>
      </c>
      <c r="I82" s="123">
        <v>4</v>
      </c>
      <c r="J82" s="64">
        <v>3978.4</v>
      </c>
      <c r="K82" s="64">
        <v>3426.4</v>
      </c>
      <c r="L82" s="64">
        <v>0</v>
      </c>
      <c r="M82" s="124">
        <v>156</v>
      </c>
      <c r="N82" s="63">
        <f t="shared" si="27"/>
        <v>9499544.7837941013</v>
      </c>
      <c r="O82" s="64"/>
      <c r="P82" s="65"/>
      <c r="Q82" s="65"/>
      <c r="R82" s="65">
        <f>+AQ82+AR82-102484.4</f>
        <v>1804243.37</v>
      </c>
      <c r="S82" s="65">
        <f>+'Приложение №2'!E91-'Приложение №1'!R82</f>
        <v>7695301.4137941012</v>
      </c>
      <c r="T82" s="64">
        <f>+'Приложение №2'!E91-'Приложение №1'!P82-'Приложение №1'!Q82-'Приложение №1'!R82-'Приложение №1'!S82</f>
        <v>0</v>
      </c>
      <c r="U82" s="65">
        <f t="shared" si="28"/>
        <v>2772.4564510255955</v>
      </c>
      <c r="V82" s="65">
        <f t="shared" si="28"/>
        <v>2772.4564510255955</v>
      </c>
      <c r="W82" s="126">
        <v>2022</v>
      </c>
      <c r="X82" s="127" t="e">
        <f>+#REF!-'[1]Приложение №1'!$P1028</f>
        <v>#REF!</v>
      </c>
      <c r="Z82" s="63">
        <f t="shared" si="29"/>
        <v>12575637.629999999</v>
      </c>
      <c r="AA82" s="64">
        <v>5842505.2034731191</v>
      </c>
      <c r="AB82" s="64">
        <v>0</v>
      </c>
      <c r="AC82" s="64">
        <v>3571726.84810158</v>
      </c>
      <c r="AD82" s="64">
        <v>0</v>
      </c>
      <c r="AE82" s="64">
        <v>1087971.3496965601</v>
      </c>
      <c r="AF82" s="64"/>
      <c r="AG82" s="64">
        <v>290312.54463120009</v>
      </c>
      <c r="AH82" s="64">
        <v>0</v>
      </c>
      <c r="AI82" s="64">
        <v>0</v>
      </c>
      <c r="AJ82" s="64">
        <v>0</v>
      </c>
      <c r="AK82" s="64">
        <v>0</v>
      </c>
      <c r="AL82" s="64">
        <v>0</v>
      </c>
      <c r="AM82" s="64">
        <v>1421354.8426000001</v>
      </c>
      <c r="AN82" s="65">
        <v>125756.3763</v>
      </c>
      <c r="AO82" s="66">
        <v>236010.46519754</v>
      </c>
      <c r="AP82" s="128">
        <f>+N82-'Приложение №2'!E91</f>
        <v>0</v>
      </c>
      <c r="AQ82" s="23">
        <v>1557234.97</v>
      </c>
      <c r="AR82" s="25">
        <f t="shared" si="30"/>
        <v>349492.8</v>
      </c>
      <c r="AS82" s="25">
        <f>+(K82*10+L82*20)*12*30</f>
        <v>12335040</v>
      </c>
      <c r="AT82" s="127">
        <f t="shared" si="31"/>
        <v>-4639738.5862058988</v>
      </c>
      <c r="AW82" s="63">
        <f t="shared" ref="AW82:AW145" si="32">SUBTOTAL(9,AX82:BL82)</f>
        <v>9499544.7837941013</v>
      </c>
      <c r="AX82" s="64">
        <v>6542286.3200000003</v>
      </c>
      <c r="AY82" s="64">
        <v>0</v>
      </c>
      <c r="AZ82" s="64">
        <v>1697416.27</v>
      </c>
      <c r="BA82" s="64">
        <v>0</v>
      </c>
      <c r="BB82" s="64"/>
      <c r="BC82" s="64"/>
      <c r="BD82" s="64"/>
      <c r="BE82" s="64">
        <v>0</v>
      </c>
      <c r="BF82" s="64">
        <v>0</v>
      </c>
      <c r="BG82" s="64">
        <v>0</v>
      </c>
      <c r="BH82" s="64">
        <v>0</v>
      </c>
      <c r="BI82" s="64">
        <v>0</v>
      </c>
      <c r="BJ82" s="64">
        <v>937979.59060000011</v>
      </c>
      <c r="BK82" s="65">
        <v>109643.86790000001</v>
      </c>
      <c r="BL82" s="66">
        <v>212218.73529410001</v>
      </c>
    </row>
    <row r="83" spans="1:64" x14ac:dyDescent="0.25">
      <c r="A83" s="122">
        <f t="shared" ref="A83:B98" si="33">+A82+1</f>
        <v>66</v>
      </c>
      <c r="B83" s="62">
        <f t="shared" si="33"/>
        <v>66</v>
      </c>
      <c r="C83" s="62" t="s">
        <v>52</v>
      </c>
      <c r="D83" s="62" t="s">
        <v>1022</v>
      </c>
      <c r="E83" s="123">
        <v>1977</v>
      </c>
      <c r="F83" s="123">
        <v>2013</v>
      </c>
      <c r="G83" s="123" t="s">
        <v>43</v>
      </c>
      <c r="H83" s="123">
        <v>5</v>
      </c>
      <c r="I83" s="123">
        <v>4</v>
      </c>
      <c r="J83" s="64">
        <v>3776.9</v>
      </c>
      <c r="K83" s="64">
        <v>3428.1</v>
      </c>
      <c r="L83" s="64">
        <v>0</v>
      </c>
      <c r="M83" s="124">
        <v>165</v>
      </c>
      <c r="N83" s="63">
        <f t="shared" si="27"/>
        <v>6122093.3446254004</v>
      </c>
      <c r="O83" s="64"/>
      <c r="P83" s="65">
        <v>1902810.5300000007</v>
      </c>
      <c r="Q83" s="65"/>
      <c r="R83" s="65">
        <f>+AQ83+AR83-750257.76</f>
        <v>1319637.71</v>
      </c>
      <c r="S83" s="65">
        <f>+'Приложение №2'!E92-'Приложение №1'!R83-P83</f>
        <v>2899645.1046253997</v>
      </c>
      <c r="T83" s="64">
        <f>+'Приложение №2'!E92-'Приложение №1'!P83-'Приложение №1'!Q83-'Приложение №1'!R83-'Приложение №1'!S83</f>
        <v>0</v>
      </c>
      <c r="U83" s="65">
        <f t="shared" si="28"/>
        <v>1785.8561140647591</v>
      </c>
      <c r="V83" s="65">
        <f t="shared" si="28"/>
        <v>1785.8561140647591</v>
      </c>
      <c r="W83" s="126">
        <v>2022</v>
      </c>
      <c r="X83" s="127" t="e">
        <f>+#REF!-'[1]Приложение №1'!$P1029</f>
        <v>#REF!</v>
      </c>
      <c r="Z83" s="63">
        <f t="shared" si="29"/>
        <v>48865245.616670541</v>
      </c>
      <c r="AA83" s="64">
        <v>5729314.5934642795</v>
      </c>
      <c r="AB83" s="64">
        <v>3313419.2585243396</v>
      </c>
      <c r="AC83" s="64"/>
      <c r="AD83" s="64">
        <v>2670708.5095941597</v>
      </c>
      <c r="AE83" s="64">
        <v>1066893.3801993597</v>
      </c>
      <c r="AF83" s="64"/>
      <c r="AG83" s="64">
        <v>284688.13311960007</v>
      </c>
      <c r="AH83" s="64">
        <v>0</v>
      </c>
      <c r="AI83" s="64"/>
      <c r="AJ83" s="64">
        <v>0</v>
      </c>
      <c r="AK83" s="64">
        <v>19801517.854670577</v>
      </c>
      <c r="AL83" s="64">
        <v>7787683.0063746003</v>
      </c>
      <c r="AM83" s="64">
        <v>6396701.2079000007</v>
      </c>
      <c r="AN83" s="65">
        <v>625668.27380000008</v>
      </c>
      <c r="AO83" s="66">
        <v>1188651.3990236199</v>
      </c>
      <c r="AP83" s="128">
        <f>+N83-'Приложение №2'!E92</f>
        <v>0</v>
      </c>
      <c r="AQ83" s="23">
        <v>1720229.27</v>
      </c>
      <c r="AR83" s="25">
        <f t="shared" si="30"/>
        <v>349666.2</v>
      </c>
      <c r="AS83" s="25">
        <f>+(K83*10+L83*20)*12*30</f>
        <v>12341160</v>
      </c>
      <c r="AT83" s="127">
        <f t="shared" si="31"/>
        <v>-9441514.8953745998</v>
      </c>
      <c r="AW83" s="63">
        <f t="shared" si="32"/>
        <v>6122093.3446254004</v>
      </c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>
        <v>5951792.4900000002</v>
      </c>
      <c r="BJ83" s="64"/>
      <c r="BK83" s="65"/>
      <c r="BL83" s="66">
        <v>170300.85462540001</v>
      </c>
    </row>
    <row r="84" spans="1:64" x14ac:dyDescent="0.25">
      <c r="A84" s="122">
        <f t="shared" si="33"/>
        <v>67</v>
      </c>
      <c r="B84" s="62">
        <f t="shared" si="33"/>
        <v>67</v>
      </c>
      <c r="C84" s="62" t="s">
        <v>52</v>
      </c>
      <c r="D84" s="62" t="s">
        <v>1023</v>
      </c>
      <c r="E84" s="123">
        <v>1978</v>
      </c>
      <c r="F84" s="123">
        <v>2008</v>
      </c>
      <c r="G84" s="123" t="s">
        <v>43</v>
      </c>
      <c r="H84" s="123">
        <v>5</v>
      </c>
      <c r="I84" s="123">
        <v>4</v>
      </c>
      <c r="J84" s="64">
        <v>3883.8</v>
      </c>
      <c r="K84" s="64">
        <v>3458.3</v>
      </c>
      <c r="L84" s="64">
        <v>0</v>
      </c>
      <c r="M84" s="124">
        <v>222</v>
      </c>
      <c r="N84" s="63">
        <f t="shared" si="27"/>
        <v>13180476.834345801</v>
      </c>
      <c r="O84" s="64"/>
      <c r="P84" s="65">
        <v>3368341.02</v>
      </c>
      <c r="Q84" s="65"/>
      <c r="R84" s="65">
        <f>+AQ84+AR84-976547.58</f>
        <v>1029202.7300000001</v>
      </c>
      <c r="S84" s="65">
        <f>+'Приложение №2'!E93-'Приложение №1'!R84-P84</f>
        <v>8782933.0843458008</v>
      </c>
      <c r="T84" s="64">
        <f>+'Приложение №2'!E93-'Приложение №1'!P84-'Приложение №1'!Q84-'Приложение №1'!R84-'Приложение №1'!S84</f>
        <v>0</v>
      </c>
      <c r="U84" s="65">
        <f t="shared" si="28"/>
        <v>3811.2589521862765</v>
      </c>
      <c r="V84" s="65">
        <f t="shared" si="28"/>
        <v>3811.2589521862765</v>
      </c>
      <c r="W84" s="126">
        <v>2022</v>
      </c>
      <c r="X84" s="127" t="e">
        <f>+#REF!-'[1]Приложение №1'!$P1032</f>
        <v>#REF!</v>
      </c>
      <c r="Z84" s="63">
        <f t="shared" si="29"/>
        <v>63420061.129999995</v>
      </c>
      <c r="AA84" s="64">
        <v>5807446.1655264599</v>
      </c>
      <c r="AB84" s="64">
        <v>3358604.8833262799</v>
      </c>
      <c r="AC84" s="64">
        <v>3550294.0375593598</v>
      </c>
      <c r="AD84" s="64">
        <v>2707129.3844263195</v>
      </c>
      <c r="AE84" s="64">
        <v>1081442.7754918202</v>
      </c>
      <c r="AF84" s="64"/>
      <c r="AG84" s="64">
        <v>288570.47026920004</v>
      </c>
      <c r="AH84" s="64">
        <v>0</v>
      </c>
      <c r="AI84" s="64">
        <v>10338138.3710934</v>
      </c>
      <c r="AJ84" s="64">
        <v>0</v>
      </c>
      <c r="AK84" s="64">
        <v>20071554.294351</v>
      </c>
      <c r="AL84" s="64">
        <v>7893884.8726541996</v>
      </c>
      <c r="AM84" s="64">
        <v>6483934.0373000009</v>
      </c>
      <c r="AN84" s="65">
        <v>634200.61129999999</v>
      </c>
      <c r="AO84" s="66">
        <v>1204861.22670196</v>
      </c>
      <c r="AP84" s="128">
        <f>+N84-'Приложение №2'!E93</f>
        <v>0</v>
      </c>
      <c r="AQ84" s="23">
        <v>1653003.71</v>
      </c>
      <c r="AR84" s="25">
        <f t="shared" si="30"/>
        <v>352746.6</v>
      </c>
      <c r="AS84" s="25">
        <f>+(K84*10+L84*20)*12*30</f>
        <v>12449880</v>
      </c>
      <c r="AT84" s="127">
        <f t="shared" si="31"/>
        <v>-3666946.9156541992</v>
      </c>
      <c r="AW84" s="63">
        <f t="shared" si="32"/>
        <v>13180476.834345801</v>
      </c>
      <c r="AX84" s="64"/>
      <c r="AY84" s="64"/>
      <c r="AZ84" s="64"/>
      <c r="BA84" s="64"/>
      <c r="BB84" s="64"/>
      <c r="BC84" s="64"/>
      <c r="BD84" s="64"/>
      <c r="BE84" s="64"/>
      <c r="BF84" s="64">
        <v>8640336.7400000002</v>
      </c>
      <c r="BG84" s="64"/>
      <c r="BH84" s="64"/>
      <c r="BI84" s="64">
        <v>4367516.82</v>
      </c>
      <c r="BJ84" s="64"/>
      <c r="BK84" s="65"/>
      <c r="BL84" s="66">
        <v>172623.27434580002</v>
      </c>
    </row>
    <row r="85" spans="1:64" x14ac:dyDescent="0.25">
      <c r="A85" s="122">
        <f t="shared" si="33"/>
        <v>68</v>
      </c>
      <c r="B85" s="62">
        <f t="shared" si="33"/>
        <v>68</v>
      </c>
      <c r="C85" s="62" t="s">
        <v>52</v>
      </c>
      <c r="D85" s="62" t="s">
        <v>1024</v>
      </c>
      <c r="E85" s="123">
        <v>1978</v>
      </c>
      <c r="F85" s="123">
        <v>2013</v>
      </c>
      <c r="G85" s="123" t="s">
        <v>43</v>
      </c>
      <c r="H85" s="123">
        <v>5</v>
      </c>
      <c r="I85" s="123">
        <v>4</v>
      </c>
      <c r="J85" s="64">
        <v>4866.6000000000004</v>
      </c>
      <c r="K85" s="64">
        <v>4226.8</v>
      </c>
      <c r="L85" s="64">
        <v>67</v>
      </c>
      <c r="M85" s="124">
        <v>317</v>
      </c>
      <c r="N85" s="63">
        <f t="shared" si="27"/>
        <v>6961640.1664998997</v>
      </c>
      <c r="O85" s="64"/>
      <c r="P85" s="65">
        <v>2801964.8706000075</v>
      </c>
      <c r="Q85" s="65"/>
      <c r="R85" s="65">
        <f>+'Приложение №2'!E94-'Приложение №1'!P85-'Приложение №1'!S85</f>
        <v>360566.95649989974</v>
      </c>
      <c r="S85" s="65">
        <v>3799108.3393999925</v>
      </c>
      <c r="T85" s="64">
        <f>+'Приложение №2'!E94-'Приложение №1'!P85-'Приложение №1'!Q85-'Приложение №1'!R85-'Приложение №1'!S85</f>
        <v>0</v>
      </c>
      <c r="U85" s="65">
        <f t="shared" si="28"/>
        <v>1621.3238079323442</v>
      </c>
      <c r="V85" s="65">
        <f t="shared" si="28"/>
        <v>1621.3238079323442</v>
      </c>
      <c r="W85" s="126">
        <v>2022</v>
      </c>
      <c r="X85" s="127" t="e">
        <f>+#REF!-'[1]Приложение №1'!$P1034</f>
        <v>#REF!</v>
      </c>
      <c r="Z85" s="63">
        <f t="shared" si="29"/>
        <v>73977525.395146951</v>
      </c>
      <c r="AA85" s="64">
        <v>7175917.2738107406</v>
      </c>
      <c r="AB85" s="64">
        <v>4150029.1384713002</v>
      </c>
      <c r="AC85" s="64"/>
      <c r="AD85" s="64">
        <v>3345039.4506639596</v>
      </c>
      <c r="AE85" s="64">
        <v>1336274.7838901998</v>
      </c>
      <c r="AF85" s="64"/>
      <c r="AG85" s="64">
        <v>356569.43953259999</v>
      </c>
      <c r="AH85" s="64">
        <v>0</v>
      </c>
      <c r="AI85" s="64">
        <v>12774225.313571399</v>
      </c>
      <c r="AJ85" s="64">
        <v>0</v>
      </c>
      <c r="AK85" s="64">
        <v>24801230.902935479</v>
      </c>
      <c r="AL85" s="64">
        <v>9754006.0220001023</v>
      </c>
      <c r="AM85" s="64">
        <v>8011813.2759000007</v>
      </c>
      <c r="AN85" s="65">
        <v>783644.13470000017</v>
      </c>
      <c r="AO85" s="66">
        <v>1488775.6596711604</v>
      </c>
      <c r="AP85" s="128">
        <f>+N85-'Приложение №2'!E94</f>
        <v>0</v>
      </c>
      <c r="AQ85" s="23">
        <f>2064874.72-682951.44</f>
        <v>1381923.28</v>
      </c>
      <c r="AR85" s="25">
        <f t="shared" si="30"/>
        <v>444801.6</v>
      </c>
      <c r="AS85" s="25">
        <f>+(K85*10+L85*20)*12*30-4953727.17</f>
        <v>10745152.83</v>
      </c>
      <c r="AT85" s="127">
        <f t="shared" si="31"/>
        <v>-6946044.4906000076</v>
      </c>
      <c r="AW85" s="63">
        <f t="shared" si="32"/>
        <v>6961640.1664998997</v>
      </c>
      <c r="AX85" s="64"/>
      <c r="AY85" s="64"/>
      <c r="AZ85" s="64"/>
      <c r="BA85" s="64"/>
      <c r="BB85" s="64"/>
      <c r="BC85" s="64"/>
      <c r="BD85" s="64"/>
      <c r="BE85" s="64">
        <v>0</v>
      </c>
      <c r="BF85" s="64"/>
      <c r="BG85" s="64">
        <v>0</v>
      </c>
      <c r="BH85" s="64"/>
      <c r="BI85" s="64">
        <v>6748339.8099999996</v>
      </c>
      <c r="BJ85" s="64"/>
      <c r="BK85" s="65"/>
      <c r="BL85" s="66">
        <v>213300.35649990002</v>
      </c>
    </row>
    <row r="86" spans="1:64" x14ac:dyDescent="0.25">
      <c r="A86" s="122">
        <f t="shared" si="33"/>
        <v>69</v>
      </c>
      <c r="B86" s="62">
        <f t="shared" si="33"/>
        <v>69</v>
      </c>
      <c r="C86" s="62" t="s">
        <v>52</v>
      </c>
      <c r="D86" s="62" t="s">
        <v>1025</v>
      </c>
      <c r="E86" s="123">
        <v>1981</v>
      </c>
      <c r="F86" s="123">
        <v>2009</v>
      </c>
      <c r="G86" s="123" t="s">
        <v>43</v>
      </c>
      <c r="H86" s="123">
        <v>5</v>
      </c>
      <c r="I86" s="123">
        <v>4</v>
      </c>
      <c r="J86" s="64">
        <v>6938.7</v>
      </c>
      <c r="K86" s="64">
        <v>6182.6</v>
      </c>
      <c r="L86" s="64">
        <v>0</v>
      </c>
      <c r="M86" s="124">
        <v>194</v>
      </c>
      <c r="N86" s="63">
        <f t="shared" si="27"/>
        <v>31419194.676773798</v>
      </c>
      <c r="O86" s="64"/>
      <c r="P86" s="64">
        <v>2786108.66</v>
      </c>
      <c r="Q86" s="65"/>
      <c r="R86" s="65">
        <f>1946079.41+233304.37</f>
        <v>2179383.7799999998</v>
      </c>
      <c r="S86" s="65">
        <f>+'Приложение №2'!E95-'Приложение №1'!P86-'Приложение №1'!R86-'Приложение №1'!T86</f>
        <v>16449520.216773801</v>
      </c>
      <c r="T86" s="64">
        <v>10004182.02</v>
      </c>
      <c r="U86" s="65">
        <f t="shared" si="28"/>
        <v>5081.8740783446765</v>
      </c>
      <c r="V86" s="65">
        <f t="shared" si="28"/>
        <v>5081.8740783446765</v>
      </c>
      <c r="W86" s="126">
        <v>2022</v>
      </c>
      <c r="X86" s="127" t="e">
        <f>+#REF!-'[1]Приложение №1'!$P1035</f>
        <v>#REF!</v>
      </c>
      <c r="Z86" s="63">
        <f t="shared" si="29"/>
        <v>112490116.45000002</v>
      </c>
      <c r="AA86" s="64">
        <v>10300846.19123742</v>
      </c>
      <c r="AB86" s="64">
        <v>5957260.9616612401</v>
      </c>
      <c r="AC86" s="64">
        <v>6297265.9176991209</v>
      </c>
      <c r="AD86" s="64">
        <v>4801718.7991861207</v>
      </c>
      <c r="AE86" s="64">
        <v>1918188.3660231601</v>
      </c>
      <c r="AF86" s="64"/>
      <c r="AG86" s="64">
        <v>511846.3343322</v>
      </c>
      <c r="AH86" s="64">
        <v>0</v>
      </c>
      <c r="AI86" s="64">
        <v>18337074.5641356</v>
      </c>
      <c r="AJ86" s="64">
        <v>0</v>
      </c>
      <c r="AK86" s="64">
        <v>35601534.275782861</v>
      </c>
      <c r="AL86" s="64">
        <v>14001626.819054702</v>
      </c>
      <c r="AM86" s="64">
        <v>11500753.575800002</v>
      </c>
      <c r="AN86" s="65">
        <v>1124901.1645</v>
      </c>
      <c r="AO86" s="66">
        <v>2137099.4805875802</v>
      </c>
      <c r="AP86" s="128">
        <f>+N86-'Приложение №2'!E95</f>
        <v>0</v>
      </c>
      <c r="AQ86" s="23">
        <f>2933225.6-137130.98</f>
        <v>2796094.62</v>
      </c>
      <c r="AR86" s="25">
        <f t="shared" si="30"/>
        <v>630625.19999999995</v>
      </c>
      <c r="AS86" s="25">
        <f>+(K86*10+L86*20)*12*30</f>
        <v>22257360</v>
      </c>
      <c r="AT86" s="127">
        <f t="shared" si="31"/>
        <v>-5807839.7832261994</v>
      </c>
      <c r="AW86" s="63">
        <f t="shared" si="32"/>
        <v>31419194.676773801</v>
      </c>
      <c r="AX86" s="64">
        <v>9954639.8599999994</v>
      </c>
      <c r="AY86" s="64">
        <v>6212728.6200000001</v>
      </c>
      <c r="AZ86" s="64"/>
      <c r="BA86" s="64">
        <v>4876418.04</v>
      </c>
      <c r="BB86" s="64"/>
      <c r="BC86" s="64"/>
      <c r="BD86" s="64"/>
      <c r="BE86" s="64">
        <v>0</v>
      </c>
      <c r="BF86" s="64">
        <v>9984420.9700000007</v>
      </c>
      <c r="BG86" s="64">
        <v>0</v>
      </c>
      <c r="BH86" s="64"/>
      <c r="BI86" s="64"/>
      <c r="BJ86" s="64"/>
      <c r="BK86" s="65"/>
      <c r="BL86" s="66">
        <v>390987.18677379994</v>
      </c>
    </row>
    <row r="87" spans="1:64" s="74" customFormat="1" x14ac:dyDescent="0.25">
      <c r="A87" s="122">
        <f t="shared" si="33"/>
        <v>70</v>
      </c>
      <c r="B87" s="62">
        <f t="shared" si="33"/>
        <v>70</v>
      </c>
      <c r="C87" s="62" t="s">
        <v>52</v>
      </c>
      <c r="D87" s="62" t="s">
        <v>692</v>
      </c>
      <c r="E87" s="123" t="s">
        <v>95</v>
      </c>
      <c r="F87" s="123"/>
      <c r="G87" s="123" t="s">
        <v>43</v>
      </c>
      <c r="H87" s="123" t="s">
        <v>97</v>
      </c>
      <c r="I87" s="123" t="s">
        <v>101</v>
      </c>
      <c r="J87" s="64">
        <v>8385.68</v>
      </c>
      <c r="K87" s="64">
        <v>7039.3</v>
      </c>
      <c r="L87" s="64">
        <v>0</v>
      </c>
      <c r="M87" s="124">
        <v>255</v>
      </c>
      <c r="N87" s="63">
        <f t="shared" si="27"/>
        <v>9021353.7382023316</v>
      </c>
      <c r="O87" s="64">
        <v>0</v>
      </c>
      <c r="P87" s="65"/>
      <c r="Q87" s="65">
        <v>0</v>
      </c>
      <c r="R87" s="65">
        <f>+AQ87+AR87</f>
        <v>5101944.1893999996</v>
      </c>
      <c r="S87" s="65">
        <f>+'Приложение №2'!E96-'Приложение №1'!R87</f>
        <v>3919409.548802332</v>
      </c>
      <c r="T87" s="64">
        <f>+'Приложение №2'!E96-'Приложение №1'!P87-'Приложение №1'!Q87-'Приложение №1'!R87-'Приложение №1'!S87</f>
        <v>0</v>
      </c>
      <c r="U87" s="65">
        <f>N87/K87</f>
        <v>1281.569721165788</v>
      </c>
      <c r="V87" s="65">
        <v>1172.2830200640003</v>
      </c>
      <c r="W87" s="126">
        <v>2022</v>
      </c>
      <c r="X87" s="74">
        <v>3214815.68</v>
      </c>
      <c r="Y87" s="74">
        <f>+(K87*12.08+L87*20.47)*12</f>
        <v>1020416.9280000001</v>
      </c>
      <c r="AA87" s="129">
        <f>+N87-'[5]Приложение № 2'!E82</f>
        <v>8032944.6082023317</v>
      </c>
      <c r="AD87" s="129">
        <f>+N87-'[5]Приложение № 2'!E82</f>
        <v>8032944.6082023317</v>
      </c>
      <c r="AP87" s="128">
        <f>+N87-'Приложение №2'!E96</f>
        <v>0</v>
      </c>
      <c r="AQ87" s="74">
        <v>4147710.76</v>
      </c>
      <c r="AR87" s="25">
        <f>+(K87*13.29+L87*22.52)*12*0.85</f>
        <v>954233.42939999979</v>
      </c>
      <c r="AS87" s="25">
        <f>+(K87*13.29+L87*22.52)*12*30</f>
        <v>33678826.919999994</v>
      </c>
      <c r="AT87" s="127">
        <f t="shared" si="31"/>
        <v>-29759417.371197663</v>
      </c>
      <c r="AW87" s="63">
        <f t="shared" si="32"/>
        <v>9021353.7382023316</v>
      </c>
      <c r="AX87" s="63"/>
      <c r="AY87" s="63"/>
      <c r="AZ87" s="63"/>
      <c r="BA87" s="63"/>
      <c r="BB87" s="63"/>
      <c r="BC87" s="63"/>
      <c r="BD87" s="63"/>
      <c r="BE87" s="63">
        <v>8608489.9199999999</v>
      </c>
      <c r="BF87" s="63"/>
      <c r="BG87" s="63"/>
      <c r="BH87" s="63"/>
      <c r="BI87" s="63"/>
      <c r="BJ87" s="63">
        <v>162285.00531609598</v>
      </c>
      <c r="BK87" s="63">
        <v>24000</v>
      </c>
      <c r="BL87" s="63">
        <v>226578.81288623557</v>
      </c>
    </row>
    <row r="88" spans="1:64" x14ac:dyDescent="0.25">
      <c r="A88" s="122">
        <f t="shared" si="33"/>
        <v>71</v>
      </c>
      <c r="B88" s="62">
        <f t="shared" si="33"/>
        <v>71</v>
      </c>
      <c r="C88" s="62" t="s">
        <v>52</v>
      </c>
      <c r="D88" s="62" t="s">
        <v>693</v>
      </c>
      <c r="E88" s="123">
        <v>1990</v>
      </c>
      <c r="F88" s="123">
        <v>2005</v>
      </c>
      <c r="G88" s="123" t="s">
        <v>43</v>
      </c>
      <c r="H88" s="123">
        <v>5</v>
      </c>
      <c r="I88" s="123">
        <v>4</v>
      </c>
      <c r="J88" s="64">
        <v>4982</v>
      </c>
      <c r="K88" s="64">
        <v>4404.6000000000004</v>
      </c>
      <c r="L88" s="64">
        <v>0</v>
      </c>
      <c r="M88" s="124">
        <v>212</v>
      </c>
      <c r="N88" s="63">
        <f t="shared" si="27"/>
        <v>29481765.911612161</v>
      </c>
      <c r="O88" s="64"/>
      <c r="P88" s="65">
        <v>8060872.4300000006</v>
      </c>
      <c r="Q88" s="65"/>
      <c r="R88" s="65">
        <f>+AQ88+AR88</f>
        <v>2550477.0000000005</v>
      </c>
      <c r="S88" s="65">
        <f>+'Приложение №2'!E97-'Приложение №1'!P88-'Приложение №1'!R88-'Приложение №1'!T88</f>
        <v>16238030.801612156</v>
      </c>
      <c r="T88" s="64">
        <v>2632385.6800000016</v>
      </c>
      <c r="U88" s="65">
        <f t="shared" ref="U88:V121" si="34">$N88/($K88+$L88)</f>
        <v>6693.4036942315215</v>
      </c>
      <c r="V88" s="65">
        <f t="shared" si="34"/>
        <v>6693.4036942315215</v>
      </c>
      <c r="W88" s="126">
        <v>2022</v>
      </c>
      <c r="X88" s="127" t="e">
        <f>+#REF!-'[1]Приложение №1'!$P1043</f>
        <v>#REF!</v>
      </c>
      <c r="Z88" s="63">
        <f t="shared" ref="Z88:Z121" si="35">SUM(AA88:AO88)</f>
        <v>49032236.020000011</v>
      </c>
      <c r="AA88" s="64">
        <v>0</v>
      </c>
      <c r="AB88" s="64">
        <v>0</v>
      </c>
      <c r="AC88" s="64">
        <v>4479661.5288129607</v>
      </c>
      <c r="AD88" s="64">
        <v>0</v>
      </c>
      <c r="AE88" s="64">
        <v>0</v>
      </c>
      <c r="AF88" s="64"/>
      <c r="AG88" s="64">
        <v>0</v>
      </c>
      <c r="AH88" s="64">
        <v>0</v>
      </c>
      <c r="AI88" s="64">
        <v>13044373.2933948</v>
      </c>
      <c r="AJ88" s="64">
        <v>0</v>
      </c>
      <c r="AK88" s="64">
        <v>25325724.749393042</v>
      </c>
      <c r="AL88" s="64">
        <v>0</v>
      </c>
      <c r="AM88" s="64">
        <v>4755116.6318000006</v>
      </c>
      <c r="AN88" s="65">
        <v>490322.3602</v>
      </c>
      <c r="AO88" s="66">
        <v>937037.45639919979</v>
      </c>
      <c r="AP88" s="128">
        <f>+N88-'Приложение №2'!E97</f>
        <v>0</v>
      </c>
      <c r="AQ88" s="23">
        <f>2210839.58-109631.78</f>
        <v>2101207.8000000003</v>
      </c>
      <c r="AR88" s="25">
        <f t="shared" ref="AR88:AR111" si="36">+(K88*10+L88*20)*12*0.85</f>
        <v>449269.2</v>
      </c>
      <c r="AS88" s="25">
        <f>+(K88*10+L88*20)*12*30-126359.21</f>
        <v>15730200.789999999</v>
      </c>
      <c r="AT88" s="127">
        <f t="shared" si="31"/>
        <v>507830.01161215641</v>
      </c>
      <c r="AW88" s="63">
        <f t="shared" si="32"/>
        <v>29481765.911612157</v>
      </c>
      <c r="AX88" s="64">
        <v>0</v>
      </c>
      <c r="AY88" s="64">
        <v>0</v>
      </c>
      <c r="AZ88" s="64"/>
      <c r="BA88" s="64">
        <v>0</v>
      </c>
      <c r="BB88" s="64">
        <v>0</v>
      </c>
      <c r="BC88" s="64"/>
      <c r="BD88" s="64"/>
      <c r="BE88" s="64">
        <v>0</v>
      </c>
      <c r="BF88" s="64">
        <v>12527051.33</v>
      </c>
      <c r="BG88" s="64">
        <v>0</v>
      </c>
      <c r="BH88" s="64">
        <v>16115638.25</v>
      </c>
      <c r="BI88" s="64">
        <v>0</v>
      </c>
      <c r="BJ88" s="64"/>
      <c r="BK88" s="65"/>
      <c r="BL88" s="66">
        <v>839076.3316121602</v>
      </c>
    </row>
    <row r="89" spans="1:64" x14ac:dyDescent="0.25">
      <c r="A89" s="122">
        <f t="shared" si="33"/>
        <v>72</v>
      </c>
      <c r="B89" s="62">
        <f t="shared" si="33"/>
        <v>72</v>
      </c>
      <c r="C89" s="62" t="s">
        <v>52</v>
      </c>
      <c r="D89" s="62" t="s">
        <v>237</v>
      </c>
      <c r="E89" s="123">
        <v>1970</v>
      </c>
      <c r="F89" s="123">
        <v>2013</v>
      </c>
      <c r="G89" s="123" t="s">
        <v>43</v>
      </c>
      <c r="H89" s="123">
        <v>5</v>
      </c>
      <c r="I89" s="123">
        <v>4</v>
      </c>
      <c r="J89" s="64">
        <v>3068</v>
      </c>
      <c r="K89" s="64">
        <v>2483.8000000000002</v>
      </c>
      <c r="L89" s="64">
        <v>584.20000000000005</v>
      </c>
      <c r="M89" s="124">
        <v>142</v>
      </c>
      <c r="N89" s="63">
        <f t="shared" ref="N89:N113" si="37">+P89+Q89+R89+S89+T89</f>
        <v>1195255.9053653199</v>
      </c>
      <c r="O89" s="64"/>
      <c r="P89" s="65"/>
      <c r="Q89" s="65"/>
      <c r="R89" s="65">
        <f>+'Приложение №2'!E98-'Приложение №1'!S89</f>
        <v>138246.74536532001</v>
      </c>
      <c r="S89" s="64">
        <v>1057009.1599999999</v>
      </c>
      <c r="T89" s="64"/>
      <c r="U89" s="65">
        <f t="shared" si="34"/>
        <v>389.58797436940023</v>
      </c>
      <c r="V89" s="65">
        <f t="shared" si="34"/>
        <v>389.58797436940023</v>
      </c>
      <c r="W89" s="126">
        <v>2022</v>
      </c>
      <c r="X89" s="127" t="e">
        <f>+#REF!-'[1]Приложение №1'!$P1441</f>
        <v>#REF!</v>
      </c>
      <c r="Z89" s="63">
        <f t="shared" si="35"/>
        <v>25875618.41</v>
      </c>
      <c r="AA89" s="64">
        <v>5945419.54417866</v>
      </c>
      <c r="AB89" s="64">
        <v>2118597.4078747798</v>
      </c>
      <c r="AC89" s="64">
        <v>2213462.8846331402</v>
      </c>
      <c r="AD89" s="64">
        <v>1385767.7235401999</v>
      </c>
      <c r="AE89" s="64">
        <v>0</v>
      </c>
      <c r="AF89" s="64"/>
      <c r="AG89" s="64">
        <v>228142.02967667999</v>
      </c>
      <c r="AH89" s="64">
        <v>0</v>
      </c>
      <c r="AI89" s="64">
        <v>10869131.540912401</v>
      </c>
      <c r="AJ89" s="64">
        <v>0</v>
      </c>
      <c r="AK89" s="64">
        <v>0</v>
      </c>
      <c r="AL89" s="64">
        <v>0</v>
      </c>
      <c r="AM89" s="64">
        <v>2358614.5958000002</v>
      </c>
      <c r="AN89" s="65">
        <v>258756.18410000001</v>
      </c>
      <c r="AO89" s="66">
        <v>497726.49928414001</v>
      </c>
      <c r="AP89" s="128">
        <f>+N89-'Приложение №2'!E98</f>
        <v>0</v>
      </c>
      <c r="AQ89" s="23">
        <v>504168.77</v>
      </c>
      <c r="AR89" s="25">
        <f t="shared" si="36"/>
        <v>372524.39999999997</v>
      </c>
      <c r="AS89" s="25">
        <f>+(K89*10+L89*20)*12*30</f>
        <v>13147920</v>
      </c>
      <c r="AT89" s="127">
        <f t="shared" si="31"/>
        <v>-12090910.84</v>
      </c>
      <c r="AW89" s="63">
        <f t="shared" si="32"/>
        <v>1195255.9053653199</v>
      </c>
      <c r="AX89" s="64"/>
      <c r="AY89" s="71"/>
      <c r="AZ89" s="64">
        <v>1057009.1599999999</v>
      </c>
      <c r="BA89" s="64"/>
      <c r="BB89" s="64">
        <v>0</v>
      </c>
      <c r="BC89" s="64"/>
      <c r="BD89" s="64"/>
      <c r="BE89" s="64">
        <v>0</v>
      </c>
      <c r="BF89" s="71"/>
      <c r="BG89" s="64">
        <v>0</v>
      </c>
      <c r="BH89" s="64">
        <v>0</v>
      </c>
      <c r="BI89" s="64">
        <v>0</v>
      </c>
      <c r="BJ89" s="64"/>
      <c r="BK89" s="65"/>
      <c r="BL89" s="66">
        <v>138246.74536532001</v>
      </c>
    </row>
    <row r="90" spans="1:64" x14ac:dyDescent="0.25">
      <c r="A90" s="122">
        <f t="shared" si="33"/>
        <v>73</v>
      </c>
      <c r="B90" s="62">
        <f t="shared" si="33"/>
        <v>73</v>
      </c>
      <c r="C90" s="62" t="s">
        <v>52</v>
      </c>
      <c r="D90" s="62" t="s">
        <v>1026</v>
      </c>
      <c r="E90" s="123">
        <v>1996</v>
      </c>
      <c r="F90" s="123"/>
      <c r="G90" s="123" t="s">
        <v>43</v>
      </c>
      <c r="H90" s="123">
        <v>5</v>
      </c>
      <c r="I90" s="123">
        <v>2</v>
      </c>
      <c r="J90" s="64">
        <v>3019</v>
      </c>
      <c r="K90" s="64">
        <v>2443.9</v>
      </c>
      <c r="L90" s="64">
        <v>0</v>
      </c>
      <c r="M90" s="124">
        <v>97</v>
      </c>
      <c r="N90" s="63">
        <f t="shared" si="37"/>
        <v>5574102.9828846604</v>
      </c>
      <c r="O90" s="64"/>
      <c r="P90" s="65">
        <v>421112.51</v>
      </c>
      <c r="Q90" s="65"/>
      <c r="R90" s="65">
        <f>+AQ90+AR90-103102.05-574610.82</f>
        <v>1310388.0899999999</v>
      </c>
      <c r="S90" s="65">
        <f>+'Приложение №2'!E99-'Приложение №1'!R90-P90</f>
        <v>3842602.3828846607</v>
      </c>
      <c r="T90" s="64">
        <f>+'Приложение №2'!E99-'Приложение №1'!P90-'Приложение №1'!Q90-'Приложение №1'!R90-'Приложение №1'!S90</f>
        <v>0</v>
      </c>
      <c r="U90" s="65">
        <f t="shared" si="34"/>
        <v>2280.8228580893901</v>
      </c>
      <c r="V90" s="65">
        <f t="shared" si="34"/>
        <v>2280.8228580893901</v>
      </c>
      <c r="W90" s="126">
        <v>2022</v>
      </c>
      <c r="X90" s="127" t="e">
        <f>+#REF!-'[1]Приложение №1'!$P1442</f>
        <v>#REF!</v>
      </c>
      <c r="Z90" s="63">
        <f t="shared" si="35"/>
        <v>42710518.469999999</v>
      </c>
      <c r="AA90" s="64">
        <v>4563184.2077858401</v>
      </c>
      <c r="AB90" s="64">
        <v>2639014.1793056997</v>
      </c>
      <c r="AC90" s="64">
        <v>2789633.3844447597</v>
      </c>
      <c r="AD90" s="64">
        <v>2127119.1704859594</v>
      </c>
      <c r="AE90" s="64">
        <v>849740.56339409994</v>
      </c>
      <c r="AF90" s="64"/>
      <c r="AG90" s="64">
        <v>226743.42160260002</v>
      </c>
      <c r="AH90" s="64">
        <v>0</v>
      </c>
      <c r="AI90" s="64">
        <v>8123162.6588364001</v>
      </c>
      <c r="AJ90" s="64">
        <v>0</v>
      </c>
      <c r="AK90" s="64">
        <v>15771166.374696182</v>
      </c>
      <c r="AL90" s="64">
        <v>0</v>
      </c>
      <c r="AM90" s="64">
        <v>4382571.3064000001</v>
      </c>
      <c r="AN90" s="65">
        <v>427105.18469999998</v>
      </c>
      <c r="AO90" s="66">
        <v>811078.01834846009</v>
      </c>
      <c r="AP90" s="128">
        <f>+N90-'Приложение №2'!E99</f>
        <v>0</v>
      </c>
      <c r="AQ90" s="23">
        <v>1738823.16</v>
      </c>
      <c r="AR90" s="25">
        <f t="shared" si="36"/>
        <v>249277.8</v>
      </c>
      <c r="AS90" s="25">
        <f>+(K90*10+L90*20)*12*30</f>
        <v>8798040</v>
      </c>
      <c r="AT90" s="127">
        <f t="shared" si="31"/>
        <v>-4955437.6171153393</v>
      </c>
      <c r="AW90" s="63">
        <f t="shared" si="32"/>
        <v>5574102.9828846604</v>
      </c>
      <c r="AX90" s="64">
        <v>1651323.46</v>
      </c>
      <c r="AY90" s="64"/>
      <c r="AZ90" s="64">
        <v>819773.26</v>
      </c>
      <c r="BA90" s="64">
        <v>732192.34</v>
      </c>
      <c r="BB90" s="64"/>
      <c r="BC90" s="64"/>
      <c r="BD90" s="64"/>
      <c r="BE90" s="64">
        <v>0</v>
      </c>
      <c r="BF90" s="64"/>
      <c r="BG90" s="64">
        <v>0</v>
      </c>
      <c r="BH90" s="64">
        <v>1813665.02</v>
      </c>
      <c r="BI90" s="64">
        <v>0</v>
      </c>
      <c r="BJ90" s="64"/>
      <c r="BK90" s="65"/>
      <c r="BL90" s="66">
        <v>557148.90288465994</v>
      </c>
    </row>
    <row r="91" spans="1:64" x14ac:dyDescent="0.25">
      <c r="A91" s="122">
        <f t="shared" si="33"/>
        <v>74</v>
      </c>
      <c r="B91" s="62">
        <f t="shared" si="33"/>
        <v>74</v>
      </c>
      <c r="C91" s="62" t="s">
        <v>52</v>
      </c>
      <c r="D91" s="62" t="s">
        <v>1027</v>
      </c>
      <c r="E91" s="123">
        <v>1982</v>
      </c>
      <c r="F91" s="123">
        <v>2013</v>
      </c>
      <c r="G91" s="123" t="s">
        <v>43</v>
      </c>
      <c r="H91" s="123">
        <v>5</v>
      </c>
      <c r="I91" s="123">
        <v>4</v>
      </c>
      <c r="J91" s="64">
        <v>4923.8999999999996</v>
      </c>
      <c r="K91" s="64">
        <v>4353.2</v>
      </c>
      <c r="L91" s="64">
        <v>0</v>
      </c>
      <c r="M91" s="124">
        <v>184</v>
      </c>
      <c r="N91" s="63">
        <f t="shared" si="37"/>
        <v>2006872.7686219998</v>
      </c>
      <c r="O91" s="64"/>
      <c r="P91" s="65"/>
      <c r="Q91" s="65"/>
      <c r="R91" s="65">
        <f>+'Приложение №2'!E100</f>
        <v>2006872.7686219998</v>
      </c>
      <c r="S91" s="65">
        <f>+'Приложение №2'!E100-'Приложение №1'!R91</f>
        <v>0</v>
      </c>
      <c r="T91" s="64">
        <f>+'Приложение №2'!E100-'Приложение №1'!P91-'Приложение №1'!Q91-'Приложение №1'!R91-'Приложение №1'!S91</f>
        <v>0</v>
      </c>
      <c r="U91" s="65">
        <f t="shared" si="34"/>
        <v>461.01092727694567</v>
      </c>
      <c r="V91" s="65">
        <f t="shared" si="34"/>
        <v>461.01092727694567</v>
      </c>
      <c r="W91" s="126">
        <v>2022</v>
      </c>
      <c r="X91" s="127" t="e">
        <f>+#REF!-'[1]Приложение №1'!$P1051</f>
        <v>#REF!</v>
      </c>
      <c r="Z91" s="63">
        <f t="shared" si="35"/>
        <v>2003612.24</v>
      </c>
      <c r="AA91" s="64">
        <v>0</v>
      </c>
      <c r="AB91" s="64">
        <v>0</v>
      </c>
      <c r="AC91" s="64">
        <v>0</v>
      </c>
      <c r="AD91" s="64">
        <v>0</v>
      </c>
      <c r="AE91" s="64">
        <v>1857825.9394380001</v>
      </c>
      <c r="AF91" s="64"/>
      <c r="AG91" s="64">
        <v>0</v>
      </c>
      <c r="AH91" s="64">
        <v>0</v>
      </c>
      <c r="AI91" s="64">
        <v>0</v>
      </c>
      <c r="AJ91" s="64">
        <v>0</v>
      </c>
      <c r="AK91" s="64">
        <v>0</v>
      </c>
      <c r="AL91" s="64">
        <v>0</v>
      </c>
      <c r="AM91" s="64">
        <v>99984.47</v>
      </c>
      <c r="AN91" s="64">
        <v>5174.9399999999996</v>
      </c>
      <c r="AO91" s="66">
        <v>40626.890562000008</v>
      </c>
      <c r="AP91" s="128">
        <f>+N91-'Приложение №2'!E100</f>
        <v>0</v>
      </c>
      <c r="AQ91" s="23">
        <v>2027227.26</v>
      </c>
      <c r="AR91" s="25">
        <f t="shared" si="36"/>
        <v>444026.39999999997</v>
      </c>
      <c r="AS91" s="25">
        <f>+(K91*10+L91*20)*12*30</f>
        <v>15671520</v>
      </c>
      <c r="AT91" s="127">
        <f t="shared" si="31"/>
        <v>-15671520</v>
      </c>
      <c r="AW91" s="63">
        <f t="shared" si="32"/>
        <v>2006872.7686219998</v>
      </c>
      <c r="AX91" s="64">
        <v>0</v>
      </c>
      <c r="AY91" s="64">
        <v>0</v>
      </c>
      <c r="AZ91" s="64">
        <v>0</v>
      </c>
      <c r="BA91" s="64">
        <v>0</v>
      </c>
      <c r="BB91" s="64">
        <v>1842675.65</v>
      </c>
      <c r="BC91" s="64"/>
      <c r="BD91" s="64"/>
      <c r="BE91" s="64">
        <v>0</v>
      </c>
      <c r="BF91" s="64">
        <v>0</v>
      </c>
      <c r="BG91" s="64">
        <v>0</v>
      </c>
      <c r="BH91" s="64">
        <v>0</v>
      </c>
      <c r="BI91" s="64">
        <v>0</v>
      </c>
      <c r="BJ91" s="64">
        <v>123984.47</v>
      </c>
      <c r="BK91" s="64"/>
      <c r="BL91" s="66">
        <v>40212.648622000001</v>
      </c>
    </row>
    <row r="92" spans="1:64" x14ac:dyDescent="0.25">
      <c r="A92" s="122">
        <f t="shared" si="33"/>
        <v>75</v>
      </c>
      <c r="B92" s="62">
        <f t="shared" si="33"/>
        <v>75</v>
      </c>
      <c r="C92" s="62" t="s">
        <v>52</v>
      </c>
      <c r="D92" s="62" t="s">
        <v>1028</v>
      </c>
      <c r="E92" s="123">
        <v>1981</v>
      </c>
      <c r="F92" s="123">
        <v>2013</v>
      </c>
      <c r="G92" s="123" t="s">
        <v>43</v>
      </c>
      <c r="H92" s="123">
        <v>5</v>
      </c>
      <c r="I92" s="123">
        <v>4</v>
      </c>
      <c r="J92" s="64">
        <v>4944.1000000000004</v>
      </c>
      <c r="K92" s="64">
        <v>4354.8999999999996</v>
      </c>
      <c r="L92" s="64">
        <v>0</v>
      </c>
      <c r="M92" s="124">
        <v>212</v>
      </c>
      <c r="N92" s="63">
        <f t="shared" si="37"/>
        <v>2008071.8906700001</v>
      </c>
      <c r="O92" s="64"/>
      <c r="P92" s="65"/>
      <c r="Q92" s="65"/>
      <c r="R92" s="65">
        <f>+'Приложение №2'!E101</f>
        <v>2008071.8906700001</v>
      </c>
      <c r="S92" s="65">
        <f>+'Приложение №2'!E101-'Приложение №1'!R92</f>
        <v>0</v>
      </c>
      <c r="T92" s="64">
        <f>+'Приложение №2'!E101-'Приложение №1'!P92-'Приложение №1'!Q92-'Приложение №1'!R92-'Приложение №1'!S92</f>
        <v>0</v>
      </c>
      <c r="U92" s="65">
        <f t="shared" si="34"/>
        <v>461.10631487979066</v>
      </c>
      <c r="V92" s="65">
        <f t="shared" si="34"/>
        <v>461.10631487979066</v>
      </c>
      <c r="W92" s="126">
        <v>2022</v>
      </c>
      <c r="X92" s="127" t="e">
        <f>+#REF!-'[1]Приложение №1'!$P1052</f>
        <v>#REF!</v>
      </c>
      <c r="Z92" s="63">
        <f t="shared" si="35"/>
        <v>2005269.71</v>
      </c>
      <c r="AA92" s="64">
        <v>0</v>
      </c>
      <c r="AB92" s="64">
        <v>0</v>
      </c>
      <c r="AC92" s="64">
        <v>0</v>
      </c>
      <c r="AD92" s="64">
        <v>0</v>
      </c>
      <c r="AE92" s="64">
        <v>1855611.1229879998</v>
      </c>
      <c r="AF92" s="64"/>
      <c r="AG92" s="64">
        <v>0</v>
      </c>
      <c r="AH92" s="64">
        <v>0</v>
      </c>
      <c r="AI92" s="64">
        <v>0</v>
      </c>
      <c r="AJ92" s="64">
        <v>0</v>
      </c>
      <c r="AK92" s="64">
        <v>0</v>
      </c>
      <c r="AL92" s="64">
        <v>0</v>
      </c>
      <c r="AM92" s="64">
        <v>103902.76</v>
      </c>
      <c r="AN92" s="64">
        <v>5177.37</v>
      </c>
      <c r="AO92" s="66">
        <v>40578.457011999999</v>
      </c>
      <c r="AP92" s="128">
        <f>+N92-'Приложение №2'!E101</f>
        <v>0</v>
      </c>
      <c r="AQ92" s="23">
        <v>2139968.2200000002</v>
      </c>
      <c r="AR92" s="25">
        <f t="shared" si="36"/>
        <v>444199.8</v>
      </c>
      <c r="AS92" s="25">
        <f>+(K92*10+L92*20)*12*30</f>
        <v>15677640</v>
      </c>
      <c r="AT92" s="127">
        <f t="shared" si="31"/>
        <v>-15677640</v>
      </c>
      <c r="AW92" s="63">
        <f t="shared" si="32"/>
        <v>2008071.8906700001</v>
      </c>
      <c r="AX92" s="64">
        <v>0</v>
      </c>
      <c r="AY92" s="64">
        <v>0</v>
      </c>
      <c r="AZ92" s="64">
        <v>0</v>
      </c>
      <c r="BA92" s="64">
        <v>0</v>
      </c>
      <c r="BB92" s="64">
        <v>1840005.31</v>
      </c>
      <c r="BC92" s="64"/>
      <c r="BD92" s="64"/>
      <c r="BE92" s="64">
        <v>0</v>
      </c>
      <c r="BF92" s="64">
        <v>0</v>
      </c>
      <c r="BG92" s="64">
        <v>0</v>
      </c>
      <c r="BH92" s="64">
        <v>0</v>
      </c>
      <c r="BI92" s="64">
        <v>0</v>
      </c>
      <c r="BJ92" s="64">
        <v>127902.76</v>
      </c>
      <c r="BK92" s="64"/>
      <c r="BL92" s="66">
        <v>40163.820670000001</v>
      </c>
    </row>
    <row r="93" spans="1:64" x14ac:dyDescent="0.25">
      <c r="A93" s="122">
        <f t="shared" si="33"/>
        <v>76</v>
      </c>
      <c r="B93" s="62">
        <f t="shared" si="33"/>
        <v>76</v>
      </c>
      <c r="C93" s="62" t="s">
        <v>52</v>
      </c>
      <c r="D93" s="62" t="s">
        <v>1029</v>
      </c>
      <c r="E93" s="123">
        <v>1985</v>
      </c>
      <c r="F93" s="123">
        <v>2013</v>
      </c>
      <c r="G93" s="123" t="s">
        <v>43</v>
      </c>
      <c r="H93" s="123">
        <v>5</v>
      </c>
      <c r="I93" s="123">
        <v>4</v>
      </c>
      <c r="J93" s="64">
        <v>4831.5</v>
      </c>
      <c r="K93" s="64">
        <v>4248.8999999999996</v>
      </c>
      <c r="L93" s="64">
        <v>0</v>
      </c>
      <c r="M93" s="124">
        <v>185</v>
      </c>
      <c r="N93" s="63">
        <f t="shared" si="37"/>
        <v>2179061.4200000004</v>
      </c>
      <c r="O93" s="64"/>
      <c r="P93" s="65"/>
      <c r="Q93" s="65"/>
      <c r="R93" s="65">
        <v>1146251.6500000001</v>
      </c>
      <c r="S93" s="65">
        <f>+'Приложение №2'!E102-'Приложение №1'!R93</f>
        <v>1032809.7700000003</v>
      </c>
      <c r="T93" s="64"/>
      <c r="U93" s="65">
        <f t="shared" si="34"/>
        <v>512.85307255995679</v>
      </c>
      <c r="V93" s="65">
        <f t="shared" si="34"/>
        <v>512.85307255995679</v>
      </c>
      <c r="W93" s="126">
        <v>2022</v>
      </c>
      <c r="X93" s="127" t="e">
        <f>+#REF!-'[1]Приложение №1'!$P1053</f>
        <v>#REF!</v>
      </c>
      <c r="Z93" s="63">
        <f t="shared" si="35"/>
        <v>14731405.994299399</v>
      </c>
      <c r="AA93" s="64">
        <v>0</v>
      </c>
      <c r="AB93" s="64">
        <v>0</v>
      </c>
      <c r="AC93" s="64">
        <v>0</v>
      </c>
      <c r="AD93" s="64">
        <v>0</v>
      </c>
      <c r="AE93" s="64">
        <v>1320450.7628806198</v>
      </c>
      <c r="AF93" s="64"/>
      <c r="AG93" s="64">
        <v>0</v>
      </c>
      <c r="AH93" s="64">
        <v>0</v>
      </c>
      <c r="AI93" s="64"/>
      <c r="AJ93" s="64">
        <v>0</v>
      </c>
      <c r="AK93" s="64">
        <v>0</v>
      </c>
      <c r="AL93" s="64">
        <v>9638500.1460678</v>
      </c>
      <c r="AM93" s="64">
        <v>2983222.9760999996</v>
      </c>
      <c r="AN93" s="65">
        <v>273543.60320000001</v>
      </c>
      <c r="AO93" s="66">
        <v>515688.50605098007</v>
      </c>
      <c r="AP93" s="128" t="s">
        <v>607</v>
      </c>
      <c r="AQ93" s="23">
        <f>2031310.17-1377300.63</f>
        <v>654009.54</v>
      </c>
      <c r="AR93" s="25">
        <f t="shared" si="36"/>
        <v>433387.8</v>
      </c>
      <c r="AS93" s="25">
        <f>+(K93*10+L93*20)*12*30-4430181.56</f>
        <v>10865858.440000001</v>
      </c>
      <c r="AT93" s="127">
        <f t="shared" si="31"/>
        <v>-9833048.6700000018</v>
      </c>
      <c r="AW93" s="63">
        <f t="shared" si="32"/>
        <v>2179061.4200000004</v>
      </c>
      <c r="AX93" s="64">
        <v>0</v>
      </c>
      <c r="AY93" s="64">
        <v>0</v>
      </c>
      <c r="AZ93" s="64">
        <v>0</v>
      </c>
      <c r="BA93" s="64">
        <v>0</v>
      </c>
      <c r="BB93" s="64">
        <v>1980515.44</v>
      </c>
      <c r="BC93" s="64"/>
      <c r="BD93" s="64"/>
      <c r="BE93" s="64">
        <v>0</v>
      </c>
      <c r="BF93" s="64"/>
      <c r="BG93" s="64">
        <v>0</v>
      </c>
      <c r="BH93" s="64">
        <v>0</v>
      </c>
      <c r="BI93" s="64"/>
      <c r="BJ93" s="64">
        <v>123857.99</v>
      </c>
      <c r="BK93" s="65"/>
      <c r="BL93" s="66">
        <v>74687.990000000005</v>
      </c>
    </row>
    <row r="94" spans="1:64" x14ac:dyDescent="0.25">
      <c r="A94" s="122">
        <f t="shared" si="33"/>
        <v>77</v>
      </c>
      <c r="B94" s="62">
        <f t="shared" si="33"/>
        <v>77</v>
      </c>
      <c r="C94" s="62" t="s">
        <v>52</v>
      </c>
      <c r="D94" s="62" t="s">
        <v>1030</v>
      </c>
      <c r="E94" s="123">
        <v>1973</v>
      </c>
      <c r="F94" s="123">
        <v>2013</v>
      </c>
      <c r="G94" s="123" t="s">
        <v>43</v>
      </c>
      <c r="H94" s="123">
        <v>4</v>
      </c>
      <c r="I94" s="123">
        <v>4</v>
      </c>
      <c r="J94" s="64">
        <v>2799.6</v>
      </c>
      <c r="K94" s="64">
        <v>1950.2</v>
      </c>
      <c r="L94" s="64">
        <v>849.4</v>
      </c>
      <c r="M94" s="124">
        <v>97</v>
      </c>
      <c r="N94" s="63">
        <f t="shared" si="37"/>
        <v>856186.02</v>
      </c>
      <c r="O94" s="64"/>
      <c r="P94" s="65"/>
      <c r="Q94" s="65"/>
      <c r="S94" s="65">
        <f>+'Приложение №2'!E103</f>
        <v>856186.02</v>
      </c>
      <c r="T94" s="64"/>
      <c r="U94" s="65">
        <f t="shared" si="34"/>
        <v>305.82441063009003</v>
      </c>
      <c r="V94" s="65">
        <f t="shared" si="34"/>
        <v>305.82441063009003</v>
      </c>
      <c r="W94" s="126">
        <v>2022</v>
      </c>
      <c r="X94" s="127" t="e">
        <f>+#REF!-'[1]Приложение №1'!$P670</f>
        <v>#REF!</v>
      </c>
      <c r="Z94" s="63">
        <f t="shared" si="35"/>
        <v>12055712.754182</v>
      </c>
      <c r="AA94" s="64">
        <v>0</v>
      </c>
      <c r="AB94" s="64">
        <v>0</v>
      </c>
      <c r="AC94" s="64">
        <v>0</v>
      </c>
      <c r="AD94" s="64">
        <v>0</v>
      </c>
      <c r="AE94" s="64">
        <v>855198.98</v>
      </c>
      <c r="AF94" s="64"/>
      <c r="AG94" s="64">
        <v>0</v>
      </c>
      <c r="AH94" s="64">
        <v>0</v>
      </c>
      <c r="AI94" s="64">
        <v>0</v>
      </c>
      <c r="AJ94" s="64">
        <v>0</v>
      </c>
      <c r="AK94" s="64">
        <v>4622378.1154139396</v>
      </c>
      <c r="AL94" s="64">
        <v>4985775.8594565606</v>
      </c>
      <c r="AM94" s="64">
        <v>1265941.3650000002</v>
      </c>
      <c r="AN94" s="65">
        <v>113650.91250000001</v>
      </c>
      <c r="AO94" s="66">
        <v>212767.52181150002</v>
      </c>
      <c r="AP94" s="128">
        <f>+N94-'Приложение №2'!E103</f>
        <v>0</v>
      </c>
      <c r="AQ94" s="23">
        <v>1792695.27</v>
      </c>
      <c r="AR94" s="25">
        <f t="shared" si="36"/>
        <v>372198</v>
      </c>
      <c r="AS94" s="25">
        <f>+(K94*10+L94*20)*12*30</f>
        <v>13136400</v>
      </c>
      <c r="AT94" s="127">
        <f t="shared" si="31"/>
        <v>-12280213.98</v>
      </c>
      <c r="AW94" s="63">
        <f t="shared" si="32"/>
        <v>856186.02</v>
      </c>
      <c r="AX94" s="64">
        <v>0</v>
      </c>
      <c r="AY94" s="64">
        <v>0</v>
      </c>
      <c r="AZ94" s="64">
        <v>0</v>
      </c>
      <c r="BA94" s="64">
        <v>0</v>
      </c>
      <c r="BB94" s="64">
        <v>856186.02</v>
      </c>
      <c r="BC94" s="64"/>
      <c r="BD94" s="64"/>
      <c r="BE94" s="64">
        <v>0</v>
      </c>
      <c r="BF94" s="64">
        <v>0</v>
      </c>
      <c r="BG94" s="64">
        <v>0</v>
      </c>
      <c r="BH94" s="64"/>
      <c r="BI94" s="64"/>
      <c r="BJ94" s="64"/>
      <c r="BK94" s="65"/>
      <c r="BL94" s="66"/>
    </row>
    <row r="95" spans="1:64" x14ac:dyDescent="0.25">
      <c r="A95" s="122">
        <f t="shared" si="33"/>
        <v>78</v>
      </c>
      <c r="B95" s="62">
        <f t="shared" si="33"/>
        <v>78</v>
      </c>
      <c r="C95" s="62" t="s">
        <v>52</v>
      </c>
      <c r="D95" s="62" t="s">
        <v>694</v>
      </c>
      <c r="E95" s="123">
        <v>1976</v>
      </c>
      <c r="F95" s="123">
        <v>2013</v>
      </c>
      <c r="G95" s="123" t="s">
        <v>43</v>
      </c>
      <c r="H95" s="123">
        <v>4</v>
      </c>
      <c r="I95" s="123">
        <v>6</v>
      </c>
      <c r="J95" s="64">
        <v>5727.3</v>
      </c>
      <c r="K95" s="64">
        <v>4928.1000000000004</v>
      </c>
      <c r="L95" s="64">
        <v>70.7</v>
      </c>
      <c r="M95" s="124">
        <v>234</v>
      </c>
      <c r="N95" s="63">
        <f t="shared" si="37"/>
        <v>2296257.4311860004</v>
      </c>
      <c r="O95" s="64"/>
      <c r="P95" s="65">
        <v>1556194.47</v>
      </c>
      <c r="Q95" s="65"/>
      <c r="R95" s="65">
        <f>+'Приложение №2'!E104-'Приложение №1'!P95-'Приложение №1'!S95</f>
        <v>274059.37118600035</v>
      </c>
      <c r="S95" s="65">
        <v>466003.59</v>
      </c>
      <c r="T95" s="64">
        <f>+'Приложение №2'!E104-'Приложение №1'!P95-'Приложение №1'!Q95-'Приложение №1'!R95-'Приложение №1'!S95</f>
        <v>0</v>
      </c>
      <c r="U95" s="65">
        <f t="shared" si="34"/>
        <v>459.36173305313281</v>
      </c>
      <c r="V95" s="65">
        <f t="shared" si="34"/>
        <v>459.36173305313281</v>
      </c>
      <c r="W95" s="126">
        <v>2022</v>
      </c>
      <c r="X95" s="127">
        <f>+S95-'[1]Приложение №1'!$P671</f>
        <v>-7704500.1799999997</v>
      </c>
      <c r="Z95" s="63">
        <f t="shared" si="35"/>
        <v>8101376.7311859997</v>
      </c>
      <c r="AA95" s="64">
        <v>0</v>
      </c>
      <c r="AB95" s="64">
        <v>0</v>
      </c>
      <c r="AC95" s="64">
        <v>5108867.6053762194</v>
      </c>
      <c r="AD95" s="64">
        <v>0</v>
      </c>
      <c r="AE95" s="64">
        <v>2022198.06</v>
      </c>
      <c r="AF95" s="64"/>
      <c r="AG95" s="64">
        <v>0</v>
      </c>
      <c r="AH95" s="64">
        <v>0</v>
      </c>
      <c r="AI95" s="64">
        <v>0</v>
      </c>
      <c r="AJ95" s="64">
        <v>0</v>
      </c>
      <c r="AK95" s="64">
        <v>0</v>
      </c>
      <c r="AL95" s="64">
        <v>0</v>
      </c>
      <c r="AM95" s="64">
        <v>786081.95299999998</v>
      </c>
      <c r="AN95" s="65">
        <v>60658.294300000001</v>
      </c>
      <c r="AO95" s="66">
        <v>123570.81850978</v>
      </c>
      <c r="AP95" s="128">
        <f>+N95-'Приложение №2'!E104</f>
        <v>0</v>
      </c>
      <c r="AQ95" s="23">
        <f>2269068.63-1153662.35-337091.58</f>
        <v>778314.69999999972</v>
      </c>
      <c r="AR95" s="25">
        <f t="shared" si="36"/>
        <v>517089</v>
      </c>
      <c r="AS95" s="25">
        <f>+(K95*10+L95*20)*12*30-1213002.672-2895880.10928442</f>
        <v>14141317.218715582</v>
      </c>
      <c r="AT95" s="127">
        <f t="shared" si="31"/>
        <v>-13675313.628715582</v>
      </c>
      <c r="AW95" s="63">
        <f t="shared" si="32"/>
        <v>2296257.4311860004</v>
      </c>
      <c r="AX95" s="64">
        <v>0</v>
      </c>
      <c r="AY95" s="64">
        <v>0</v>
      </c>
      <c r="AZ95" s="64"/>
      <c r="BA95" s="64">
        <v>0</v>
      </c>
      <c r="BB95" s="64">
        <v>2082908.19</v>
      </c>
      <c r="BC95" s="64"/>
      <c r="BD95" s="64"/>
      <c r="BE95" s="64">
        <v>0</v>
      </c>
      <c r="BF95" s="64">
        <v>0</v>
      </c>
      <c r="BG95" s="64">
        <v>0</v>
      </c>
      <c r="BH95" s="64">
        <v>0</v>
      </c>
      <c r="BI95" s="64">
        <v>0</v>
      </c>
      <c r="BJ95" s="64">
        <v>199499.01</v>
      </c>
      <c r="BK95" s="65">
        <v>2000</v>
      </c>
      <c r="BL95" s="66">
        <v>11850.231185999999</v>
      </c>
    </row>
    <row r="96" spans="1:64" x14ac:dyDescent="0.25">
      <c r="A96" s="122">
        <f t="shared" si="33"/>
        <v>79</v>
      </c>
      <c r="B96" s="62">
        <f t="shared" si="33"/>
        <v>79</v>
      </c>
      <c r="C96" s="62" t="s">
        <v>52</v>
      </c>
      <c r="D96" s="62" t="s">
        <v>1031</v>
      </c>
      <c r="E96" s="123">
        <v>1979</v>
      </c>
      <c r="F96" s="123">
        <v>2013</v>
      </c>
      <c r="G96" s="123" t="s">
        <v>43</v>
      </c>
      <c r="H96" s="123">
        <v>4</v>
      </c>
      <c r="I96" s="123">
        <v>6</v>
      </c>
      <c r="J96" s="64">
        <v>5599.1</v>
      </c>
      <c r="K96" s="64">
        <v>5005.8999999999996</v>
      </c>
      <c r="L96" s="64">
        <v>0</v>
      </c>
      <c r="M96" s="124">
        <v>207</v>
      </c>
      <c r="N96" s="63">
        <f t="shared" si="37"/>
        <v>16801922.47724456</v>
      </c>
      <c r="O96" s="64"/>
      <c r="P96" s="65"/>
      <c r="Q96" s="65"/>
      <c r="R96" s="65">
        <f>+AQ96+AR96-114059</f>
        <v>2768356.94</v>
      </c>
      <c r="S96" s="65">
        <f>+'Приложение №2'!E105-'Приложение №1'!R96</f>
        <v>14033565.53724456</v>
      </c>
      <c r="T96" s="64">
        <f>+'Приложение №2'!E105-'Приложение №1'!P96-'Приложение №1'!Q96-'Приложение №1'!R96-'Приложение №1'!S96</f>
        <v>0</v>
      </c>
      <c r="U96" s="65">
        <f t="shared" si="34"/>
        <v>3356.423915228942</v>
      </c>
      <c r="V96" s="65">
        <f t="shared" si="34"/>
        <v>3356.423915228942</v>
      </c>
      <c r="W96" s="126">
        <v>2022</v>
      </c>
      <c r="X96" s="127" t="e">
        <f>+#REF!-'[1]Приложение №1'!$P1069</f>
        <v>#REF!</v>
      </c>
      <c r="Z96" s="63">
        <f t="shared" si="35"/>
        <v>28192630.469999995</v>
      </c>
      <c r="AA96" s="64">
        <v>8364919.510725962</v>
      </c>
      <c r="AB96" s="64">
        <v>4837661.63124552</v>
      </c>
      <c r="AC96" s="64">
        <v>5113766.538725879</v>
      </c>
      <c r="AD96" s="64">
        <v>3899290.4561225995</v>
      </c>
      <c r="AE96" s="64">
        <v>1557686.7201785401</v>
      </c>
      <c r="AF96" s="64"/>
      <c r="AG96" s="64">
        <v>415650.64718099998</v>
      </c>
      <c r="AH96" s="64">
        <v>0</v>
      </c>
      <c r="AI96" s="64">
        <v>0</v>
      </c>
      <c r="AJ96" s="64">
        <v>0</v>
      </c>
      <c r="AK96" s="64">
        <v>0</v>
      </c>
      <c r="AL96" s="64">
        <v>0</v>
      </c>
      <c r="AM96" s="64">
        <v>3192764.7577999998</v>
      </c>
      <c r="AN96" s="65">
        <v>281926.30469999998</v>
      </c>
      <c r="AO96" s="66">
        <v>528963.90332049993</v>
      </c>
      <c r="AP96" s="128">
        <f>+N96-'Приложение №2'!E105</f>
        <v>0</v>
      </c>
      <c r="AQ96" s="23">
        <v>2371814.14</v>
      </c>
      <c r="AR96" s="25">
        <f t="shared" si="36"/>
        <v>510601.8</v>
      </c>
      <c r="AS96" s="25">
        <f>+(K96*10+L96*20)*12*30-3198417.38</f>
        <v>14822822.620000001</v>
      </c>
      <c r="AT96" s="127">
        <f t="shared" si="31"/>
        <v>-789257.08275544085</v>
      </c>
      <c r="AW96" s="63">
        <f t="shared" si="32"/>
        <v>16801922.47724456</v>
      </c>
      <c r="AX96" s="64">
        <v>8268601.6299999999</v>
      </c>
      <c r="AY96" s="64"/>
      <c r="AZ96" s="64">
        <v>3198417.38</v>
      </c>
      <c r="BA96" s="64">
        <v>2797224.34</v>
      </c>
      <c r="BB96" s="64"/>
      <c r="BC96" s="64"/>
      <c r="BD96" s="64"/>
      <c r="BE96" s="64">
        <v>0</v>
      </c>
      <c r="BF96" s="64">
        <v>0</v>
      </c>
      <c r="BG96" s="64">
        <v>0</v>
      </c>
      <c r="BH96" s="64">
        <v>0</v>
      </c>
      <c r="BI96" s="64">
        <v>0</v>
      </c>
      <c r="BJ96" s="64">
        <v>1945255.4768000001</v>
      </c>
      <c r="BK96" s="65">
        <v>203313.06280000001</v>
      </c>
      <c r="BL96" s="66">
        <v>389110.58764456003</v>
      </c>
    </row>
    <row r="97" spans="1:64" x14ac:dyDescent="0.25">
      <c r="A97" s="122">
        <f t="shared" si="33"/>
        <v>80</v>
      </c>
      <c r="B97" s="62">
        <f t="shared" si="33"/>
        <v>80</v>
      </c>
      <c r="C97" s="62" t="s">
        <v>52</v>
      </c>
      <c r="D97" s="62" t="s">
        <v>1032</v>
      </c>
      <c r="E97" s="123">
        <v>1976</v>
      </c>
      <c r="F97" s="123">
        <v>2013</v>
      </c>
      <c r="G97" s="123" t="s">
        <v>43</v>
      </c>
      <c r="H97" s="123">
        <v>4</v>
      </c>
      <c r="I97" s="123">
        <v>6</v>
      </c>
      <c r="J97" s="64">
        <v>5761.37</v>
      </c>
      <c r="K97" s="64">
        <v>4953.17</v>
      </c>
      <c r="L97" s="64">
        <v>0</v>
      </c>
      <c r="M97" s="124">
        <v>208</v>
      </c>
      <c r="N97" s="95">
        <f t="shared" si="37"/>
        <v>6920739.4009156823</v>
      </c>
      <c r="O97" s="64"/>
      <c r="P97" s="65"/>
      <c r="Q97" s="65"/>
      <c r="R97" s="65">
        <f>+AQ97+AR97</f>
        <v>3001913.7399999998</v>
      </c>
      <c r="S97" s="65">
        <f>+'Приложение №2'!E106-'Приложение №1'!R97</f>
        <v>3918825.6609156816</v>
      </c>
      <c r="T97" s="65">
        <v>9.3132257461547852E-10</v>
      </c>
      <c r="U97" s="64">
        <f t="shared" si="34"/>
        <v>1397.2343773615044</v>
      </c>
      <c r="V97" s="64">
        <f t="shared" si="34"/>
        <v>1397.2343773615044</v>
      </c>
      <c r="W97" s="126">
        <v>2022</v>
      </c>
      <c r="X97" s="127" t="e">
        <f>+#REF!-'[1]Приложение №1'!$P874</f>
        <v>#REF!</v>
      </c>
      <c r="Z97" s="63">
        <f t="shared" si="35"/>
        <v>18855188.25</v>
      </c>
      <c r="AA97" s="64">
        <v>0</v>
      </c>
      <c r="AB97" s="64">
        <v>4852018.6895581791</v>
      </c>
      <c r="AC97" s="64">
        <v>5128943.0079808198</v>
      </c>
      <c r="AD97" s="64">
        <v>3910862.6451854394</v>
      </c>
      <c r="AE97" s="64">
        <v>1562309.5679603999</v>
      </c>
      <c r="AF97" s="64"/>
      <c r="AG97" s="64">
        <v>416884.20653627999</v>
      </c>
      <c r="AH97" s="64">
        <v>0</v>
      </c>
      <c r="AI97" s="64">
        <v>0</v>
      </c>
      <c r="AJ97" s="64">
        <v>0</v>
      </c>
      <c r="AK97" s="64">
        <v>0</v>
      </c>
      <c r="AL97" s="64">
        <v>0</v>
      </c>
      <c r="AM97" s="64">
        <v>2448551.2283000001</v>
      </c>
      <c r="AN97" s="65">
        <v>188551.88250000004</v>
      </c>
      <c r="AO97" s="66">
        <v>347067.0219788801</v>
      </c>
      <c r="AP97" s="128">
        <f>+N97-'Приложение №2'!E106</f>
        <v>0</v>
      </c>
      <c r="AQ97" s="23">
        <f>2496690.4</f>
        <v>2496690.4</v>
      </c>
      <c r="AR97" s="25">
        <f t="shared" si="36"/>
        <v>505223.33999999991</v>
      </c>
      <c r="AS97" s="25">
        <f>+(K97*10+L97*20)*12*30</f>
        <v>17831411.999999996</v>
      </c>
      <c r="AT97" s="127">
        <f t="shared" si="31"/>
        <v>-13912586.339084314</v>
      </c>
      <c r="AW97" s="63">
        <f t="shared" si="32"/>
        <v>6920739.4009156814</v>
      </c>
      <c r="AX97" s="64">
        <v>0</v>
      </c>
      <c r="AY97" s="64"/>
      <c r="AZ97" s="64">
        <v>3491728.21</v>
      </c>
      <c r="BA97" s="64"/>
      <c r="BB97" s="64"/>
      <c r="BC97" s="64"/>
      <c r="BD97" s="64"/>
      <c r="BE97" s="64">
        <v>0</v>
      </c>
      <c r="BF97" s="64">
        <v>0</v>
      </c>
      <c r="BG97" s="64">
        <v>0</v>
      </c>
      <c r="BH97" s="64">
        <v>0</v>
      </c>
      <c r="BI97" s="64"/>
      <c r="BJ97" s="64">
        <v>2595059.9045922239</v>
      </c>
      <c r="BK97" s="65">
        <v>223901.30645922237</v>
      </c>
      <c r="BL97" s="66">
        <v>610049.97986423504</v>
      </c>
    </row>
    <row r="98" spans="1:64" x14ac:dyDescent="0.25">
      <c r="A98" s="122">
        <f t="shared" si="33"/>
        <v>81</v>
      </c>
      <c r="B98" s="62">
        <f t="shared" si="33"/>
        <v>81</v>
      </c>
      <c r="C98" s="62" t="s">
        <v>52</v>
      </c>
      <c r="D98" s="62" t="s">
        <v>1033</v>
      </c>
      <c r="E98" s="123">
        <v>1964</v>
      </c>
      <c r="F98" s="123">
        <v>1978</v>
      </c>
      <c r="G98" s="123" t="s">
        <v>43</v>
      </c>
      <c r="H98" s="123">
        <v>4</v>
      </c>
      <c r="I98" s="123">
        <v>4</v>
      </c>
      <c r="J98" s="64">
        <v>2691.4</v>
      </c>
      <c r="K98" s="64">
        <v>2511.6</v>
      </c>
      <c r="L98" s="64">
        <v>55</v>
      </c>
      <c r="M98" s="124">
        <v>136</v>
      </c>
      <c r="N98" s="63">
        <f t="shared" si="37"/>
        <v>10029177.534309041</v>
      </c>
      <c r="O98" s="64"/>
      <c r="P98" s="65">
        <v>1737458.06</v>
      </c>
      <c r="Q98" s="65"/>
      <c r="R98" s="65">
        <v>1030975.08</v>
      </c>
      <c r="S98" s="65">
        <f>+'Приложение №2'!E107-'Приложение №1'!P98-'Приложение №1'!R98-'Приложение №1'!T98</f>
        <v>7050041.3243090399</v>
      </c>
      <c r="T98" s="64">
        <v>210703.0700000003</v>
      </c>
      <c r="U98" s="65">
        <f t="shared" si="34"/>
        <v>3907.5732620233152</v>
      </c>
      <c r="V98" s="65">
        <f t="shared" si="34"/>
        <v>3907.5732620233152</v>
      </c>
      <c r="W98" s="126">
        <v>2022</v>
      </c>
      <c r="X98" s="127" t="e">
        <f>+#REF!-'[1]Приложение №1'!$P1460</f>
        <v>#REF!</v>
      </c>
      <c r="Z98" s="63">
        <f t="shared" si="35"/>
        <v>27187931.989999998</v>
      </c>
      <c r="AA98" s="64">
        <v>5957834.6788287591</v>
      </c>
      <c r="AB98" s="64">
        <v>2123021.4274273203</v>
      </c>
      <c r="AC98" s="64">
        <v>2218085.0113825197</v>
      </c>
      <c r="AD98" s="64">
        <v>1388661.4588106403</v>
      </c>
      <c r="AE98" s="64">
        <v>849633.77513700002</v>
      </c>
      <c r="AF98" s="64"/>
      <c r="AG98" s="64">
        <v>228618.42683567997</v>
      </c>
      <c r="AH98" s="64">
        <v>0</v>
      </c>
      <c r="AI98" s="64">
        <v>10891828.3075938</v>
      </c>
      <c r="AJ98" s="64">
        <v>0</v>
      </c>
      <c r="AK98" s="64">
        <v>0</v>
      </c>
      <c r="AL98" s="64">
        <v>0</v>
      </c>
      <c r="AM98" s="64">
        <v>2741023.9698999999</v>
      </c>
      <c r="AN98" s="65">
        <v>271879.3199</v>
      </c>
      <c r="AO98" s="66">
        <v>517345.61418428004</v>
      </c>
      <c r="AP98" s="128">
        <f>+N98-'Приложение №2'!E107</f>
        <v>0</v>
      </c>
      <c r="AQ98" s="23">
        <v>1127947.9099999999</v>
      </c>
      <c r="AR98" s="25">
        <f t="shared" si="36"/>
        <v>267403.2</v>
      </c>
      <c r="AS98" s="25">
        <f>+(K98*10+L98*20)*12*30-1866218.37</f>
        <v>7571541.6299999999</v>
      </c>
      <c r="AT98" s="127">
        <f t="shared" si="31"/>
        <v>-521500.30569096003</v>
      </c>
      <c r="AW98" s="63">
        <f t="shared" si="32"/>
        <v>10029177.534309041</v>
      </c>
      <c r="AX98" s="64">
        <v>2770302.4300000006</v>
      </c>
      <c r="AY98" s="64"/>
      <c r="AZ98" s="64"/>
      <c r="BA98" s="64"/>
      <c r="BB98" s="64"/>
      <c r="BC98" s="64"/>
      <c r="BD98" s="64"/>
      <c r="BE98" s="64">
        <v>0</v>
      </c>
      <c r="BF98" s="64">
        <v>6779379.8200000003</v>
      </c>
      <c r="BG98" s="64">
        <v>0</v>
      </c>
      <c r="BH98" s="64">
        <v>0</v>
      </c>
      <c r="BI98" s="64">
        <v>0</v>
      </c>
      <c r="BJ98" s="64">
        <v>216012.79999999999</v>
      </c>
      <c r="BK98" s="65">
        <v>24000</v>
      </c>
      <c r="BL98" s="66">
        <v>239482.48430904001</v>
      </c>
    </row>
    <row r="99" spans="1:64" x14ac:dyDescent="0.25">
      <c r="A99" s="122">
        <f t="shared" ref="A99:B114" si="38">+A98+1</f>
        <v>82</v>
      </c>
      <c r="B99" s="62">
        <f t="shared" si="38"/>
        <v>82</v>
      </c>
      <c r="C99" s="62" t="s">
        <v>52</v>
      </c>
      <c r="D99" s="62" t="s">
        <v>695</v>
      </c>
      <c r="E99" s="123">
        <v>1964</v>
      </c>
      <c r="F99" s="123">
        <v>2013</v>
      </c>
      <c r="G99" s="123" t="s">
        <v>43</v>
      </c>
      <c r="H99" s="123">
        <v>4</v>
      </c>
      <c r="I99" s="123">
        <v>2</v>
      </c>
      <c r="J99" s="64">
        <v>1305.4000000000001</v>
      </c>
      <c r="K99" s="64">
        <v>1212.2</v>
      </c>
      <c r="L99" s="64">
        <v>0</v>
      </c>
      <c r="M99" s="124">
        <v>58</v>
      </c>
      <c r="N99" s="63">
        <f t="shared" si="37"/>
        <v>5379408.0875821002</v>
      </c>
      <c r="O99" s="64"/>
      <c r="P99" s="65">
        <v>474969.93999999994</v>
      </c>
      <c r="Q99" s="65"/>
      <c r="R99" s="65">
        <f>+AQ99+AR99-114795.25</f>
        <v>552763.5</v>
      </c>
      <c r="S99" s="65">
        <f>+'Приложение №2'!E108-'Приложение №1'!P99-'Приложение №1'!Q99-'Приложение №1'!R99</f>
        <v>4351674.6475821007</v>
      </c>
      <c r="T99" s="64">
        <f>+'Приложение №2'!E108-'Приложение №1'!P99-'Приложение №1'!Q99-'Приложение №1'!R99-'Приложение №1'!S99</f>
        <v>0</v>
      </c>
      <c r="U99" s="65">
        <f t="shared" si="34"/>
        <v>4437.7232202459163</v>
      </c>
      <c r="V99" s="65">
        <f t="shared" si="34"/>
        <v>4437.7232202459163</v>
      </c>
      <c r="W99" s="126">
        <v>2022</v>
      </c>
      <c r="X99" s="127" t="e">
        <f>+#REF!-'[1]Приложение №1'!$P1461</f>
        <v>#REF!</v>
      </c>
      <c r="Z99" s="63">
        <f t="shared" si="35"/>
        <v>12125695.48759958</v>
      </c>
      <c r="AA99" s="64">
        <v>2893205.1202508998</v>
      </c>
      <c r="AB99" s="64">
        <v>1030967.92465086</v>
      </c>
      <c r="AC99" s="64"/>
      <c r="AD99" s="64">
        <v>674352.78890196001</v>
      </c>
      <c r="AE99" s="64">
        <v>412593.65314902004</v>
      </c>
      <c r="AF99" s="64"/>
      <c r="AG99" s="64">
        <v>111020.19812099998</v>
      </c>
      <c r="AH99" s="64">
        <v>0</v>
      </c>
      <c r="AI99" s="64">
        <v>5289219.1770767998</v>
      </c>
      <c r="AJ99" s="64">
        <v>0</v>
      </c>
      <c r="AK99" s="64">
        <v>0</v>
      </c>
      <c r="AL99" s="64">
        <v>0</v>
      </c>
      <c r="AM99" s="64">
        <v>1331078.3206</v>
      </c>
      <c r="AN99" s="65">
        <v>132028.27580000003</v>
      </c>
      <c r="AO99" s="66">
        <v>251230.02904904005</v>
      </c>
      <c r="AP99" s="128">
        <f>+N99-'Приложение №2'!E108</f>
        <v>0</v>
      </c>
      <c r="AQ99" s="23">
        <f>572097.59-28183.24</f>
        <v>543914.35</v>
      </c>
      <c r="AR99" s="25">
        <f t="shared" si="36"/>
        <v>123644.4</v>
      </c>
      <c r="AS99" s="25">
        <f>+(K99*10+L99*20)*12*30-225791.95</f>
        <v>4138128.05</v>
      </c>
      <c r="AT99" s="127">
        <f t="shared" si="31"/>
        <v>213546.59758210089</v>
      </c>
      <c r="AW99" s="63">
        <f t="shared" si="32"/>
        <v>5379408.0875821002</v>
      </c>
      <c r="AX99" s="64">
        <v>1643046.08</v>
      </c>
      <c r="AY99" s="64"/>
      <c r="AZ99" s="64"/>
      <c r="BA99" s="64"/>
      <c r="BB99" s="64"/>
      <c r="BC99" s="64"/>
      <c r="BD99" s="64"/>
      <c r="BE99" s="64">
        <v>0</v>
      </c>
      <c r="BF99" s="64">
        <v>3461614.25</v>
      </c>
      <c r="BG99" s="64">
        <v>0</v>
      </c>
      <c r="BH99" s="64">
        <v>0</v>
      </c>
      <c r="BI99" s="64">
        <v>0</v>
      </c>
      <c r="BJ99" s="64">
        <v>156962.18</v>
      </c>
      <c r="BK99" s="65">
        <v>24000</v>
      </c>
      <c r="BL99" s="66">
        <v>93785.577582099999</v>
      </c>
    </row>
    <row r="100" spans="1:64" x14ac:dyDescent="0.25">
      <c r="A100" s="122">
        <f t="shared" si="38"/>
        <v>83</v>
      </c>
      <c r="B100" s="62">
        <f t="shared" si="38"/>
        <v>83</v>
      </c>
      <c r="C100" s="62" t="s">
        <v>52</v>
      </c>
      <c r="D100" s="62" t="s">
        <v>1034</v>
      </c>
      <c r="E100" s="123">
        <v>1964</v>
      </c>
      <c r="F100" s="123">
        <v>2013</v>
      </c>
      <c r="G100" s="123" t="s">
        <v>43</v>
      </c>
      <c r="H100" s="123">
        <v>4</v>
      </c>
      <c r="I100" s="123">
        <v>2</v>
      </c>
      <c r="J100" s="64">
        <v>1348</v>
      </c>
      <c r="K100" s="64">
        <v>1248.9000000000001</v>
      </c>
      <c r="L100" s="64">
        <v>0</v>
      </c>
      <c r="M100" s="124">
        <v>74</v>
      </c>
      <c r="N100" s="63">
        <f t="shared" si="37"/>
        <v>3305142.0224692803</v>
      </c>
      <c r="O100" s="64"/>
      <c r="P100" s="65"/>
      <c r="Q100" s="65"/>
      <c r="R100" s="65">
        <v>228782.46</v>
      </c>
      <c r="S100" s="65">
        <f>+'Приложение №2'!E109-'Приложение №1'!R100</f>
        <v>3076359.5624692803</v>
      </c>
      <c r="T100" s="64">
        <f>+'Приложение №2'!E109-'Приложение №1'!P100-'Приложение №1'!Q100-'Приложение №1'!R100-'Приложение №1'!S100</f>
        <v>0</v>
      </c>
      <c r="U100" s="65">
        <f t="shared" si="34"/>
        <v>2646.4424873643047</v>
      </c>
      <c r="V100" s="65">
        <f t="shared" si="34"/>
        <v>2646.4424873643047</v>
      </c>
      <c r="W100" s="126">
        <v>2022</v>
      </c>
      <c r="X100" s="127" t="e">
        <f>+#REF!-'[1]Приложение №1'!$P1462</f>
        <v>#REF!</v>
      </c>
      <c r="Z100" s="63">
        <f t="shared" si="35"/>
        <v>13604861.210000001</v>
      </c>
      <c r="AA100" s="64">
        <v>2981304.8663361603</v>
      </c>
      <c r="AB100" s="64">
        <v>1062361.4877094799</v>
      </c>
      <c r="AC100" s="64">
        <v>1109931.3752150398</v>
      </c>
      <c r="AD100" s="64">
        <v>694887.21792840003</v>
      </c>
      <c r="AE100" s="64">
        <v>425157.36756066006</v>
      </c>
      <c r="AF100" s="64"/>
      <c r="AG100" s="64">
        <v>114400.82936267999</v>
      </c>
      <c r="AH100" s="64">
        <v>0</v>
      </c>
      <c r="AI100" s="64">
        <v>5450278.9118777998</v>
      </c>
      <c r="AJ100" s="64">
        <v>0</v>
      </c>
      <c r="AK100" s="64">
        <v>0</v>
      </c>
      <c r="AL100" s="64">
        <v>0</v>
      </c>
      <c r="AM100" s="64">
        <v>1371610.4151999999</v>
      </c>
      <c r="AN100" s="65">
        <v>136048.6121</v>
      </c>
      <c r="AO100" s="66">
        <v>258880.12670978002</v>
      </c>
      <c r="AP100" s="128">
        <f>+N100-'Приложение №2'!E109</f>
        <v>0</v>
      </c>
      <c r="AQ100" s="23">
        <v>546149.31000000006</v>
      </c>
      <c r="AR100" s="25">
        <f t="shared" si="36"/>
        <v>127387.8</v>
      </c>
      <c r="AS100" s="25">
        <f>+(K100*10+L100*20)*12*30</f>
        <v>4496040</v>
      </c>
      <c r="AT100" s="127">
        <f t="shared" si="31"/>
        <v>-1419680.4375307197</v>
      </c>
      <c r="AW100" s="63">
        <f t="shared" si="32"/>
        <v>3305142.0224692803</v>
      </c>
      <c r="AX100" s="64"/>
      <c r="AY100" s="64"/>
      <c r="AZ100" s="64">
        <v>417598.24</v>
      </c>
      <c r="BA100" s="64"/>
      <c r="BB100" s="64"/>
      <c r="BC100" s="64"/>
      <c r="BD100" s="64"/>
      <c r="BE100" s="64">
        <v>0</v>
      </c>
      <c r="BF100" s="64">
        <v>2705657.8</v>
      </c>
      <c r="BG100" s="64">
        <v>0</v>
      </c>
      <c r="BH100" s="64">
        <v>0</v>
      </c>
      <c r="BI100" s="64">
        <v>0</v>
      </c>
      <c r="BJ100" s="64"/>
      <c r="BK100" s="65"/>
      <c r="BL100" s="66">
        <v>181885.98246928002</v>
      </c>
    </row>
    <row r="101" spans="1:64" x14ac:dyDescent="0.25">
      <c r="A101" s="122">
        <f t="shared" si="38"/>
        <v>84</v>
      </c>
      <c r="B101" s="62">
        <f t="shared" si="38"/>
        <v>84</v>
      </c>
      <c r="C101" s="62" t="s">
        <v>52</v>
      </c>
      <c r="D101" s="62" t="s">
        <v>1035</v>
      </c>
      <c r="E101" s="123">
        <v>1979</v>
      </c>
      <c r="F101" s="123">
        <v>2013</v>
      </c>
      <c r="G101" s="123" t="s">
        <v>43</v>
      </c>
      <c r="H101" s="123">
        <v>4</v>
      </c>
      <c r="I101" s="123">
        <v>4</v>
      </c>
      <c r="J101" s="64">
        <v>3976.8</v>
      </c>
      <c r="K101" s="64">
        <v>3445</v>
      </c>
      <c r="L101" s="64">
        <v>0</v>
      </c>
      <c r="M101" s="124">
        <v>147</v>
      </c>
      <c r="N101" s="63">
        <f t="shared" si="37"/>
        <v>11237171.892672002</v>
      </c>
      <c r="O101" s="64"/>
      <c r="P101" s="65"/>
      <c r="Q101" s="65"/>
      <c r="R101" s="65">
        <f>+AQ101+AR101-102291.02</f>
        <v>1880810.18</v>
      </c>
      <c r="S101" s="65">
        <f>+'Приложение №2'!E110-'Приложение №1'!R101</f>
        <v>9356361.7126720026</v>
      </c>
      <c r="T101" s="64">
        <f>+'Приложение №2'!E110-'Приложение №1'!P101-'Приложение №1'!Q101-'Приложение №1'!R101-'Приложение №1'!S101</f>
        <v>0</v>
      </c>
      <c r="U101" s="65">
        <f t="shared" si="34"/>
        <v>3261.8786335767786</v>
      </c>
      <c r="V101" s="65">
        <f t="shared" si="34"/>
        <v>3261.8786335767786</v>
      </c>
      <c r="W101" s="126">
        <v>2022</v>
      </c>
      <c r="X101" s="127" t="e">
        <f>+#REF!-'[1]Приложение №1'!$P1079</f>
        <v>#REF!</v>
      </c>
      <c r="Z101" s="63">
        <f t="shared" si="35"/>
        <v>19622588.440000001</v>
      </c>
      <c r="AA101" s="64">
        <v>5822137.5647799</v>
      </c>
      <c r="AB101" s="64">
        <v>3367101.3183015599</v>
      </c>
      <c r="AC101" s="64">
        <v>3559275.4023027602</v>
      </c>
      <c r="AD101" s="64">
        <v>2713977.7540528802</v>
      </c>
      <c r="AE101" s="64">
        <v>1084178.5535662202</v>
      </c>
      <c r="AF101" s="64"/>
      <c r="AG101" s="64">
        <v>289300.48238279991</v>
      </c>
      <c r="AH101" s="64">
        <v>0</v>
      </c>
      <c r="AI101" s="64">
        <v>0</v>
      </c>
      <c r="AJ101" s="64">
        <v>0</v>
      </c>
      <c r="AK101" s="64">
        <v>0</v>
      </c>
      <c r="AL101" s="64">
        <v>0</v>
      </c>
      <c r="AM101" s="64">
        <v>2222222.8914000001</v>
      </c>
      <c r="AN101" s="65">
        <v>196225.88440000007</v>
      </c>
      <c r="AO101" s="66">
        <v>368168.58881388011</v>
      </c>
      <c r="AP101" s="128">
        <f>+N101-'Приложение №2'!E110</f>
        <v>0</v>
      </c>
      <c r="AQ101" s="23">
        <v>1631711.2</v>
      </c>
      <c r="AR101" s="25">
        <f t="shared" si="36"/>
        <v>351390</v>
      </c>
      <c r="AS101" s="25">
        <f>+(K101*10+L101*20)*12*30</f>
        <v>12402000</v>
      </c>
      <c r="AT101" s="127">
        <f t="shared" si="31"/>
        <v>-3045638.2873279974</v>
      </c>
      <c r="AW101" s="63">
        <f t="shared" si="32"/>
        <v>11237171.892672002</v>
      </c>
      <c r="AX101" s="64">
        <v>6273586.1500000004</v>
      </c>
      <c r="AY101" s="64"/>
      <c r="AZ101" s="64">
        <v>1824432.9</v>
      </c>
      <c r="BA101" s="64">
        <v>2750949.97</v>
      </c>
      <c r="BB101" s="64"/>
      <c r="BC101" s="64"/>
      <c r="BD101" s="64"/>
      <c r="BE101" s="64">
        <v>0</v>
      </c>
      <c r="BF101" s="64">
        <v>0</v>
      </c>
      <c r="BG101" s="64">
        <v>0</v>
      </c>
      <c r="BH101" s="64">
        <v>0</v>
      </c>
      <c r="BI101" s="64">
        <v>0</v>
      </c>
      <c r="BJ101" s="64">
        <v>75835.89</v>
      </c>
      <c r="BK101" s="65">
        <v>18000</v>
      </c>
      <c r="BL101" s="66">
        <v>294366.98267199995</v>
      </c>
    </row>
    <row r="102" spans="1:64" x14ac:dyDescent="0.25">
      <c r="A102" s="122">
        <f t="shared" si="38"/>
        <v>85</v>
      </c>
      <c r="B102" s="62">
        <f t="shared" si="38"/>
        <v>85</v>
      </c>
      <c r="C102" s="62" t="s">
        <v>52</v>
      </c>
      <c r="D102" s="62" t="s">
        <v>1036</v>
      </c>
      <c r="E102" s="123">
        <v>1979</v>
      </c>
      <c r="F102" s="123">
        <v>2013</v>
      </c>
      <c r="G102" s="123" t="s">
        <v>43</v>
      </c>
      <c r="H102" s="123">
        <v>4</v>
      </c>
      <c r="I102" s="123">
        <v>4</v>
      </c>
      <c r="J102" s="64">
        <v>3917.8</v>
      </c>
      <c r="K102" s="64">
        <v>3440.2</v>
      </c>
      <c r="L102" s="64">
        <v>0</v>
      </c>
      <c r="M102" s="124">
        <v>140</v>
      </c>
      <c r="N102" s="63">
        <f t="shared" si="37"/>
        <v>11195845.836039999</v>
      </c>
      <c r="O102" s="64"/>
      <c r="P102" s="65"/>
      <c r="Q102" s="65"/>
      <c r="R102" s="65">
        <f>+AQ102+AR102-102179.5</f>
        <v>1936128.0399999998</v>
      </c>
      <c r="S102" s="65">
        <f>+'Приложение №2'!E111-'Приложение №1'!R102</f>
        <v>9259717.7960400004</v>
      </c>
      <c r="T102" s="64">
        <f>+'Приложение №2'!E111-'Приложение №1'!P102-'Приложение №1'!Q102-'Приложение №1'!R102-'Приложение №1'!S102</f>
        <v>0</v>
      </c>
      <c r="U102" s="65">
        <f t="shared" si="34"/>
        <v>3254.4171373873614</v>
      </c>
      <c r="V102" s="65">
        <f t="shared" si="34"/>
        <v>3254.4171373873614</v>
      </c>
      <c r="W102" s="126">
        <v>2022</v>
      </c>
      <c r="X102" s="127" t="e">
        <f>+#REF!-'[1]Приложение №1'!$P1080</f>
        <v>#REF!</v>
      </c>
      <c r="Z102" s="63">
        <f t="shared" si="35"/>
        <v>19409336.159999996</v>
      </c>
      <c r="AA102" s="64">
        <v>5758864.3566909004</v>
      </c>
      <c r="AB102" s="64">
        <v>3330508.6911448804</v>
      </c>
      <c r="AC102" s="64">
        <v>3520594.2884208602</v>
      </c>
      <c r="AD102" s="64">
        <v>2684483.0712293996</v>
      </c>
      <c r="AE102" s="64">
        <v>1072396.0376261999</v>
      </c>
      <c r="AF102" s="64"/>
      <c r="AG102" s="64">
        <v>286156.45293899998</v>
      </c>
      <c r="AH102" s="64">
        <v>0</v>
      </c>
      <c r="AI102" s="64">
        <v>0</v>
      </c>
      <c r="AJ102" s="64">
        <v>0</v>
      </c>
      <c r="AK102" s="64">
        <v>0</v>
      </c>
      <c r="AL102" s="64">
        <v>0</v>
      </c>
      <c r="AM102" s="64">
        <v>2198072.4550000001</v>
      </c>
      <c r="AN102" s="65">
        <v>194093.3616</v>
      </c>
      <c r="AO102" s="66">
        <v>364167.44534875994</v>
      </c>
      <c r="AP102" s="128">
        <f>+N102-'Приложение №2'!E111</f>
        <v>0</v>
      </c>
      <c r="AQ102" s="23">
        <v>1687407.14</v>
      </c>
      <c r="AR102" s="25">
        <f t="shared" si="36"/>
        <v>350900.39999999997</v>
      </c>
      <c r="AS102" s="25">
        <f>+(K102*10+L102*20)*12*30</f>
        <v>12384720</v>
      </c>
      <c r="AT102" s="127">
        <f t="shared" si="31"/>
        <v>-3125002.2039599996</v>
      </c>
      <c r="AW102" s="63">
        <f t="shared" si="32"/>
        <v>11195845.836039999</v>
      </c>
      <c r="AX102" s="64">
        <v>6230360.1900000004</v>
      </c>
      <c r="AY102" s="64"/>
      <c r="AZ102" s="64">
        <v>1824432.9</v>
      </c>
      <c r="BA102" s="64">
        <v>2756248.99</v>
      </c>
      <c r="BB102" s="64"/>
      <c r="BC102" s="64"/>
      <c r="BD102" s="64"/>
      <c r="BE102" s="64">
        <v>0</v>
      </c>
      <c r="BF102" s="64">
        <v>0</v>
      </c>
      <c r="BG102" s="64">
        <v>0</v>
      </c>
      <c r="BH102" s="64">
        <v>0</v>
      </c>
      <c r="BI102" s="64">
        <v>0</v>
      </c>
      <c r="BJ102" s="64">
        <v>75653.789999999994</v>
      </c>
      <c r="BK102" s="65">
        <v>18000</v>
      </c>
      <c r="BL102" s="66">
        <v>291149.96604000009</v>
      </c>
    </row>
    <row r="103" spans="1:64" x14ac:dyDescent="0.25">
      <c r="A103" s="122">
        <f t="shared" si="38"/>
        <v>86</v>
      </c>
      <c r="B103" s="62">
        <f t="shared" si="38"/>
        <v>86</v>
      </c>
      <c r="C103" s="62" t="s">
        <v>52</v>
      </c>
      <c r="D103" s="62" t="s">
        <v>1037</v>
      </c>
      <c r="E103" s="123">
        <v>1979</v>
      </c>
      <c r="F103" s="123">
        <v>2013</v>
      </c>
      <c r="G103" s="123" t="s">
        <v>43</v>
      </c>
      <c r="H103" s="123">
        <v>4</v>
      </c>
      <c r="I103" s="123">
        <v>4</v>
      </c>
      <c r="J103" s="64">
        <v>3969.95</v>
      </c>
      <c r="K103" s="64">
        <v>3453.7</v>
      </c>
      <c r="L103" s="64">
        <v>0</v>
      </c>
      <c r="M103" s="124">
        <v>154</v>
      </c>
      <c r="N103" s="63">
        <f t="shared" si="37"/>
        <v>9426184.9459980018</v>
      </c>
      <c r="O103" s="64"/>
      <c r="P103" s="65"/>
      <c r="Q103" s="65"/>
      <c r="R103" s="65">
        <f>+AQ103+AR103-102179.5</f>
        <v>1705810.5499999998</v>
      </c>
      <c r="S103" s="65">
        <f>+'Приложение №2'!E112-'Приложение №1'!R103</f>
        <v>7720374.395998002</v>
      </c>
      <c r="T103" s="64">
        <f>+'Приложение №2'!E112-'Приложение №1'!P103-'Приложение №1'!Q103-'Приложение №1'!R103-'Приложение №1'!S103</f>
        <v>0</v>
      </c>
      <c r="U103" s="65">
        <f t="shared" si="34"/>
        <v>2729.3004447398448</v>
      </c>
      <c r="V103" s="65">
        <f t="shared" si="34"/>
        <v>2729.3004447398448</v>
      </c>
      <c r="W103" s="126">
        <v>2022</v>
      </c>
      <c r="X103" s="127" t="e">
        <f>+#REF!-'[1]Приложение №1'!$P1081</f>
        <v>#REF!</v>
      </c>
      <c r="Z103" s="63">
        <f t="shared" si="35"/>
        <v>19594173.580000002</v>
      </c>
      <c r="AA103" s="64">
        <v>5813706.7057906203</v>
      </c>
      <c r="AB103" s="64">
        <v>3362225.5261996798</v>
      </c>
      <c r="AC103" s="64">
        <v>3554121.3229787997</v>
      </c>
      <c r="AD103" s="64">
        <v>2710047.7279637996</v>
      </c>
      <c r="AE103" s="64">
        <v>1082608.5872498399</v>
      </c>
      <c r="AF103" s="64"/>
      <c r="AG103" s="64">
        <v>288881.55977184005</v>
      </c>
      <c r="AH103" s="64">
        <v>0</v>
      </c>
      <c r="AI103" s="64">
        <v>0</v>
      </c>
      <c r="AJ103" s="64">
        <v>0</v>
      </c>
      <c r="AK103" s="64">
        <v>0</v>
      </c>
      <c r="AL103" s="64">
        <v>0</v>
      </c>
      <c r="AM103" s="64">
        <v>2219004.9588999995</v>
      </c>
      <c r="AN103" s="65">
        <v>195941.73580000002</v>
      </c>
      <c r="AO103" s="66">
        <v>367635.45534541999</v>
      </c>
      <c r="AP103" s="128">
        <f>+N103-'Приложение №2'!E112</f>
        <v>0</v>
      </c>
      <c r="AQ103" s="23">
        <v>1455712.65</v>
      </c>
      <c r="AR103" s="25">
        <f t="shared" si="36"/>
        <v>352277.39999999997</v>
      </c>
      <c r="AS103" s="25">
        <f>+(K103*10+L103*20)*12*30</f>
        <v>12433320</v>
      </c>
      <c r="AT103" s="127">
        <f t="shared" si="31"/>
        <v>-4712945.604001998</v>
      </c>
      <c r="AW103" s="63">
        <f t="shared" si="32"/>
        <v>9426184.9459980018</v>
      </c>
      <c r="AX103" s="64">
        <v>6321167.0899999999</v>
      </c>
      <c r="AY103" s="64"/>
      <c r="AZ103" s="64"/>
      <c r="BA103" s="64">
        <v>2717347.73</v>
      </c>
      <c r="BB103" s="64"/>
      <c r="BC103" s="64"/>
      <c r="BD103" s="64"/>
      <c r="BE103" s="64">
        <v>0</v>
      </c>
      <c r="BF103" s="64">
        <v>0</v>
      </c>
      <c r="BG103" s="64">
        <v>0</v>
      </c>
      <c r="BH103" s="64">
        <v>0</v>
      </c>
      <c r="BI103" s="64">
        <v>0</v>
      </c>
      <c r="BJ103" s="64">
        <v>75730.05</v>
      </c>
      <c r="BK103" s="65">
        <v>18000</v>
      </c>
      <c r="BL103" s="66">
        <v>293940.07599800004</v>
      </c>
    </row>
    <row r="104" spans="1:64" x14ac:dyDescent="0.25">
      <c r="A104" s="122">
        <f t="shared" si="38"/>
        <v>87</v>
      </c>
      <c r="B104" s="62">
        <f t="shared" si="38"/>
        <v>87</v>
      </c>
      <c r="C104" s="62" t="s">
        <v>52</v>
      </c>
      <c r="D104" s="62" t="s">
        <v>696</v>
      </c>
      <c r="E104" s="123">
        <v>1961</v>
      </c>
      <c r="F104" s="123">
        <v>2013</v>
      </c>
      <c r="G104" s="123" t="s">
        <v>43</v>
      </c>
      <c r="H104" s="123">
        <v>4</v>
      </c>
      <c r="I104" s="123">
        <v>3</v>
      </c>
      <c r="J104" s="64">
        <v>3049.5</v>
      </c>
      <c r="K104" s="64">
        <v>2277.6</v>
      </c>
      <c r="L104" s="64">
        <v>771.9</v>
      </c>
      <c r="M104" s="124">
        <v>94</v>
      </c>
      <c r="N104" s="63">
        <f t="shared" si="37"/>
        <v>1102560.24537608</v>
      </c>
      <c r="O104" s="64"/>
      <c r="P104" s="65"/>
      <c r="Q104" s="65"/>
      <c r="R104" s="65">
        <v>105566.35</v>
      </c>
      <c r="S104" s="65">
        <f>+'Приложение №2'!E113-'Приложение №1'!R104</f>
        <v>996993.89537608007</v>
      </c>
      <c r="T104" s="64">
        <f>+'Приложение №2'!E113-'Приложение №1'!P104-'Приложение №1'!Q104-'Приложение №1'!R104-'Приложение №1'!S104</f>
        <v>0</v>
      </c>
      <c r="U104" s="65">
        <f t="shared" si="34"/>
        <v>361.5544336370159</v>
      </c>
      <c r="V104" s="65">
        <f t="shared" si="34"/>
        <v>361.5544336370159</v>
      </c>
      <c r="W104" s="126">
        <v>2022</v>
      </c>
      <c r="X104" s="127" t="e">
        <f>+#REF!-'[1]Приложение №1'!$P1463</f>
        <v>#REF!</v>
      </c>
      <c r="Z104" s="63">
        <f t="shared" si="35"/>
        <v>13067933.899999999</v>
      </c>
      <c r="AA104" s="64">
        <v>5253036.7368624602</v>
      </c>
      <c r="AB104" s="64">
        <v>1871872.94908698</v>
      </c>
      <c r="AC104" s="64">
        <v>1955690.7227369398</v>
      </c>
      <c r="AD104" s="64">
        <v>1224386.0518469999</v>
      </c>
      <c r="AE104" s="64">
        <v>749124.08010090003</v>
      </c>
      <c r="AF104" s="64"/>
      <c r="AG104" s="64">
        <v>201573.40567307998</v>
      </c>
      <c r="AH104" s="64">
        <v>0</v>
      </c>
      <c r="AI104" s="64">
        <v>0</v>
      </c>
      <c r="AJ104" s="64">
        <v>0</v>
      </c>
      <c r="AK104" s="64">
        <v>0</v>
      </c>
      <c r="AL104" s="64">
        <v>0</v>
      </c>
      <c r="AM104" s="64">
        <v>1435431.6034000001</v>
      </c>
      <c r="AN104" s="65">
        <v>130679.33899999999</v>
      </c>
      <c r="AO104" s="66">
        <v>246139.01129264</v>
      </c>
      <c r="AP104" s="128">
        <f>+N104-'Приложение №2'!E113</f>
        <v>0</v>
      </c>
      <c r="AQ104" s="23">
        <v>1647685.87</v>
      </c>
      <c r="AR104" s="25">
        <f t="shared" si="36"/>
        <v>389782.8</v>
      </c>
      <c r="AS104" s="25">
        <f>+(K104*10+L104*20)*12*30-1902349.22</f>
        <v>11854690.779999999</v>
      </c>
      <c r="AT104" s="127">
        <f t="shared" si="31"/>
        <v>-10857696.884623919</v>
      </c>
      <c r="AW104" s="63">
        <f t="shared" si="32"/>
        <v>1102560.24537608</v>
      </c>
      <c r="AX104" s="64"/>
      <c r="AY104" s="71"/>
      <c r="AZ104" s="64">
        <v>642270.27</v>
      </c>
      <c r="BA104" s="64"/>
      <c r="BB104" s="64"/>
      <c r="BC104" s="64"/>
      <c r="BD104" s="64"/>
      <c r="BE104" s="64">
        <v>0</v>
      </c>
      <c r="BF104" s="64">
        <v>0</v>
      </c>
      <c r="BG104" s="64">
        <v>0</v>
      </c>
      <c r="BH104" s="64">
        <v>0</v>
      </c>
      <c r="BI104" s="64">
        <v>0</v>
      </c>
      <c r="BJ104" s="64">
        <v>352588.91</v>
      </c>
      <c r="BK104" s="65">
        <v>24000</v>
      </c>
      <c r="BL104" s="66">
        <v>83701.06537608002</v>
      </c>
    </row>
    <row r="105" spans="1:64" x14ac:dyDescent="0.25">
      <c r="A105" s="122">
        <f t="shared" si="38"/>
        <v>88</v>
      </c>
      <c r="B105" s="62">
        <f t="shared" si="38"/>
        <v>88</v>
      </c>
      <c r="C105" s="62" t="s">
        <v>52</v>
      </c>
      <c r="D105" s="62" t="s">
        <v>246</v>
      </c>
      <c r="E105" s="123">
        <v>1963</v>
      </c>
      <c r="F105" s="123">
        <v>2005</v>
      </c>
      <c r="G105" s="123" t="s">
        <v>43</v>
      </c>
      <c r="H105" s="123">
        <v>4</v>
      </c>
      <c r="I105" s="123">
        <v>2</v>
      </c>
      <c r="J105" s="64">
        <v>1240.4000000000001</v>
      </c>
      <c r="K105" s="64">
        <v>1075.8</v>
      </c>
      <c r="L105" s="64">
        <v>111.9</v>
      </c>
      <c r="M105" s="124">
        <v>70</v>
      </c>
      <c r="N105" s="63">
        <f t="shared" si="37"/>
        <v>2251928.7114039203</v>
      </c>
      <c r="O105" s="64"/>
      <c r="P105" s="65"/>
      <c r="Q105" s="65"/>
      <c r="R105" s="65">
        <f>+AR105</f>
        <v>132559.19999999998</v>
      </c>
      <c r="S105" s="65">
        <f>+'Приложение №2'!E114-'Приложение №1'!P105-'Приложение №1'!Q105-'Приложение №1'!R105</f>
        <v>2119369.5114039201</v>
      </c>
      <c r="T105" s="64">
        <f>+'Приложение №2'!E114-'Приложение №1'!P105-'Приложение №1'!Q105-'Приложение №1'!R105-'Приложение №1'!S105</f>
        <v>0</v>
      </c>
      <c r="U105" s="65">
        <f t="shared" si="34"/>
        <v>1896.0416867928941</v>
      </c>
      <c r="V105" s="65">
        <f t="shared" si="34"/>
        <v>1896.0416867928941</v>
      </c>
      <c r="W105" s="126">
        <v>2022</v>
      </c>
      <c r="X105" s="127" t="e">
        <f>+#REF!-'[1]Приложение №1'!$P1464</f>
        <v>#REF!</v>
      </c>
      <c r="Z105" s="63">
        <f t="shared" si="35"/>
        <v>6371609.4744707597</v>
      </c>
      <c r="AA105" s="64">
        <v>2696472.9036772796</v>
      </c>
      <c r="AB105" s="64">
        <v>960864.14913719997</v>
      </c>
      <c r="AC105" s="64"/>
      <c r="AD105" s="64">
        <v>628498.13628335996</v>
      </c>
      <c r="AE105" s="64">
        <v>384538.10584644001</v>
      </c>
      <c r="AF105" s="64"/>
      <c r="AG105" s="64">
        <v>103471.04618424</v>
      </c>
      <c r="AH105" s="64">
        <v>0</v>
      </c>
      <c r="AI105" s="64"/>
      <c r="AJ105" s="64">
        <v>0</v>
      </c>
      <c r="AK105" s="64">
        <v>0</v>
      </c>
      <c r="AL105" s="64">
        <v>0</v>
      </c>
      <c r="AM105" s="64">
        <v>1240567.6336999999</v>
      </c>
      <c r="AN105" s="65">
        <v>123050.61470000001</v>
      </c>
      <c r="AO105" s="66">
        <v>234146.88494223999</v>
      </c>
      <c r="AP105" s="128">
        <f>+N105-'Приложение №2'!E114</f>
        <v>0</v>
      </c>
      <c r="AQ105" s="23">
        <v>669629.44999999995</v>
      </c>
      <c r="AR105" s="25">
        <f t="shared" si="36"/>
        <v>132559.19999999998</v>
      </c>
      <c r="AS105" s="25">
        <f>+(K105*10+L105*20)*12*30-1442997.24</f>
        <v>3235562.76</v>
      </c>
      <c r="AT105" s="127">
        <f t="shared" si="31"/>
        <v>-1116193.2485960796</v>
      </c>
      <c r="AW105" s="63">
        <f t="shared" si="32"/>
        <v>2251928.7114039203</v>
      </c>
      <c r="AX105" s="64"/>
      <c r="AY105" s="64">
        <v>588065.09</v>
      </c>
      <c r="AZ105" s="64"/>
      <c r="BA105" s="64">
        <v>500447.33</v>
      </c>
      <c r="BB105" s="64">
        <v>469911.83</v>
      </c>
      <c r="BC105" s="64"/>
      <c r="BD105" s="64"/>
      <c r="BE105" s="64">
        <v>0</v>
      </c>
      <c r="BF105" s="64"/>
      <c r="BG105" s="64">
        <v>0</v>
      </c>
      <c r="BH105" s="64">
        <v>0</v>
      </c>
      <c r="BI105" s="64">
        <v>0</v>
      </c>
      <c r="BJ105" s="64">
        <v>513326.799</v>
      </c>
      <c r="BK105" s="65">
        <v>73858.718200000003</v>
      </c>
      <c r="BL105" s="66">
        <v>106318.94420392002</v>
      </c>
    </row>
    <row r="106" spans="1:64" x14ac:dyDescent="0.25">
      <c r="A106" s="122">
        <f t="shared" si="38"/>
        <v>89</v>
      </c>
      <c r="B106" s="62">
        <f t="shared" si="38"/>
        <v>89</v>
      </c>
      <c r="C106" s="62" t="s">
        <v>52</v>
      </c>
      <c r="D106" s="62" t="s">
        <v>697</v>
      </c>
      <c r="E106" s="123">
        <v>1965</v>
      </c>
      <c r="F106" s="123">
        <v>2005</v>
      </c>
      <c r="G106" s="123" t="s">
        <v>43</v>
      </c>
      <c r="H106" s="123">
        <v>4</v>
      </c>
      <c r="I106" s="123">
        <v>4</v>
      </c>
      <c r="J106" s="64">
        <v>2661.8</v>
      </c>
      <c r="K106" s="64">
        <v>2220.4</v>
      </c>
      <c r="L106" s="64">
        <v>229.71</v>
      </c>
      <c r="M106" s="124">
        <v>111</v>
      </c>
      <c r="N106" s="95">
        <f>+P106+Q106+R106+S106+T106</f>
        <v>1618117.19564</v>
      </c>
      <c r="O106" s="64"/>
      <c r="P106" s="65"/>
      <c r="Q106" s="65"/>
      <c r="R106" s="65">
        <f>+'Приложение №2'!E115</f>
        <v>1618117.19564</v>
      </c>
      <c r="S106" s="65">
        <f>+'Приложение №2'!E115-'Приложение №1'!R106</f>
        <v>0</v>
      </c>
      <c r="T106" s="65">
        <f>+'Приложение №2'!E115-'Приложение №1'!P106-'Приложение №1'!Q106-'Приложение №1'!R106-'Приложение №1'!S106</f>
        <v>0</v>
      </c>
      <c r="U106" s="64">
        <f>$N106/($K106+$L106)</f>
        <v>660.42634642526252</v>
      </c>
      <c r="V106" s="64">
        <f>$N106/($K106+$L106)</f>
        <v>660.42634642526252</v>
      </c>
      <c r="W106" s="126">
        <v>2022</v>
      </c>
      <c r="X106" s="127" t="e">
        <f>+#REF!-'[1]Приложение №1'!$P1656</f>
        <v>#REF!</v>
      </c>
      <c r="Z106" s="63">
        <f>SUM(AA106:AO106)</f>
        <v>26489548.390000001</v>
      </c>
      <c r="AA106" s="64">
        <v>5804794.2058142396</v>
      </c>
      <c r="AB106" s="64">
        <v>2068486.8169081199</v>
      </c>
      <c r="AC106" s="64">
        <v>2161108.4722953597</v>
      </c>
      <c r="AD106" s="64">
        <v>1352990.5470060001</v>
      </c>
      <c r="AE106" s="64">
        <v>827809.00358814001</v>
      </c>
      <c r="AF106" s="64"/>
      <c r="AG106" s="64">
        <v>222745.84764851996</v>
      </c>
      <c r="AH106" s="64">
        <v>0</v>
      </c>
      <c r="AI106" s="64">
        <v>10612047.031450199</v>
      </c>
      <c r="AJ106" s="64">
        <v>0</v>
      </c>
      <c r="AK106" s="64">
        <v>0</v>
      </c>
      <c r="AL106" s="64">
        <v>0</v>
      </c>
      <c r="AM106" s="64">
        <v>2670614.5608000001</v>
      </c>
      <c r="AN106" s="65">
        <v>264895.48389999999</v>
      </c>
      <c r="AO106" s="66">
        <v>504056.42058942007</v>
      </c>
      <c r="AP106" s="128">
        <f>+N106-'Приложение №2'!E115</f>
        <v>0</v>
      </c>
      <c r="AQ106" s="23">
        <f>1243271.94-96320.77</f>
        <v>1146951.17</v>
      </c>
      <c r="AR106" s="25">
        <f>+(K106*10+L106*20)*12*0.85</f>
        <v>273341.64</v>
      </c>
      <c r="AS106" s="25">
        <f>+(K106*10+L106*20)*12*30</f>
        <v>9647352</v>
      </c>
      <c r="AT106" s="127">
        <f>+S106-AS106</f>
        <v>-9647352</v>
      </c>
      <c r="AU106" s="127">
        <f>+P106-'[6]Приложение №1'!$P299</f>
        <v>0</v>
      </c>
      <c r="AV106" s="127">
        <f>+Q106-'[6]Приложение №1'!$Q299</f>
        <v>0</v>
      </c>
      <c r="AW106" s="63">
        <f t="shared" si="32"/>
        <v>1618117.19564</v>
      </c>
      <c r="AX106" s="64"/>
      <c r="AY106" s="64"/>
      <c r="AZ106" s="64"/>
      <c r="BA106" s="64"/>
      <c r="BB106" s="64">
        <v>1092251.81</v>
      </c>
      <c r="BC106" s="64"/>
      <c r="BD106" s="64"/>
      <c r="BE106" s="64"/>
      <c r="BF106" s="64"/>
      <c r="BG106" s="64">
        <v>0</v>
      </c>
      <c r="BH106" s="64">
        <v>0</v>
      </c>
      <c r="BI106" s="64">
        <v>0</v>
      </c>
      <c r="BJ106" s="64">
        <v>501699.37999999995</v>
      </c>
      <c r="BK106" s="65"/>
      <c r="BL106" s="66">
        <v>24166.005639999999</v>
      </c>
    </row>
    <row r="107" spans="1:64" x14ac:dyDescent="0.25">
      <c r="A107" s="122">
        <f t="shared" si="38"/>
        <v>90</v>
      </c>
      <c r="B107" s="62">
        <f t="shared" si="38"/>
        <v>90</v>
      </c>
      <c r="C107" s="62" t="s">
        <v>52</v>
      </c>
      <c r="D107" s="62" t="s">
        <v>547</v>
      </c>
      <c r="E107" s="123">
        <v>1977</v>
      </c>
      <c r="F107" s="123">
        <v>2013</v>
      </c>
      <c r="G107" s="123" t="s">
        <v>43</v>
      </c>
      <c r="H107" s="123">
        <v>4</v>
      </c>
      <c r="I107" s="123">
        <v>4</v>
      </c>
      <c r="J107" s="64">
        <v>3916.4</v>
      </c>
      <c r="K107" s="64">
        <v>3440.3</v>
      </c>
      <c r="L107" s="64">
        <v>0</v>
      </c>
      <c r="M107" s="124">
        <v>163</v>
      </c>
      <c r="N107" s="63">
        <f t="shared" si="37"/>
        <v>20909986.949686639</v>
      </c>
      <c r="O107" s="64"/>
      <c r="P107" s="65"/>
      <c r="Q107" s="65"/>
      <c r="R107" s="65">
        <v>1967138.52</v>
      </c>
      <c r="S107" s="65">
        <f>+'Приложение №2'!E116-'Приложение №1'!R107-'Приложение №1'!T107</f>
        <v>12246295.399686638</v>
      </c>
      <c r="T107" s="64">
        <v>6696553.0300000003</v>
      </c>
      <c r="U107" s="65">
        <f t="shared" si="34"/>
        <v>6077.9545242236545</v>
      </c>
      <c r="V107" s="65">
        <f t="shared" si="34"/>
        <v>6077.9545242236545</v>
      </c>
      <c r="W107" s="126">
        <v>2022</v>
      </c>
      <c r="X107" s="127" t="e">
        <f>+#REF!-'[1]Приложение №1'!$P1085</f>
        <v>#REF!</v>
      </c>
      <c r="Z107" s="63">
        <f t="shared" si="35"/>
        <v>62685332.069999993</v>
      </c>
      <c r="AA107" s="64">
        <v>5740166.195995139</v>
      </c>
      <c r="AB107" s="64">
        <v>3319695.0395049001</v>
      </c>
      <c r="AC107" s="64">
        <v>3509163.4526478597</v>
      </c>
      <c r="AD107" s="64">
        <v>2675766.9644319597</v>
      </c>
      <c r="AE107" s="64">
        <v>1068914.1259818</v>
      </c>
      <c r="AF107" s="64"/>
      <c r="AG107" s="64">
        <v>285227.34661260003</v>
      </c>
      <c r="AH107" s="64">
        <v>0</v>
      </c>
      <c r="AI107" s="64">
        <v>10218369.797231399</v>
      </c>
      <c r="AJ107" s="64">
        <v>0</v>
      </c>
      <c r="AK107" s="64">
        <v>19839022.919366278</v>
      </c>
      <c r="AL107" s="64">
        <v>7802433.2655801</v>
      </c>
      <c r="AM107" s="64">
        <v>6408816.8779000007</v>
      </c>
      <c r="AN107" s="65">
        <v>626853.32070000004</v>
      </c>
      <c r="AO107" s="66">
        <v>1190902.7640479603</v>
      </c>
      <c r="AP107" s="128">
        <f>+N107-'Приложение №2'!E116</f>
        <v>0</v>
      </c>
      <c r="AQ107" s="23">
        <v>1681538.39</v>
      </c>
      <c r="AR107" s="25">
        <f t="shared" si="36"/>
        <v>350910.6</v>
      </c>
      <c r="AS107" s="25">
        <f>+(K107*10+L107*20)*12*30</f>
        <v>12385080</v>
      </c>
      <c r="AT107" s="127">
        <f t="shared" si="31"/>
        <v>-138784.60031336173</v>
      </c>
      <c r="AW107" s="63">
        <f t="shared" si="32"/>
        <v>20909986.949686639</v>
      </c>
      <c r="AX107" s="64"/>
      <c r="AY107" s="64"/>
      <c r="AZ107" s="64"/>
      <c r="BA107" s="64"/>
      <c r="BB107" s="64"/>
      <c r="BC107" s="64"/>
      <c r="BD107" s="64"/>
      <c r="BE107" s="64"/>
      <c r="BF107" s="64">
        <v>8833594.1600000001</v>
      </c>
      <c r="BG107" s="64">
        <v>0</v>
      </c>
      <c r="BH107" s="64">
        <v>11280169.18</v>
      </c>
      <c r="BI107" s="71"/>
      <c r="BJ107" s="64">
        <v>157634.31</v>
      </c>
      <c r="BK107" s="65">
        <v>24000</v>
      </c>
      <c r="BL107" s="66">
        <v>614589.29968664004</v>
      </c>
    </row>
    <row r="108" spans="1:64" x14ac:dyDescent="0.25">
      <c r="A108" s="122">
        <f t="shared" si="38"/>
        <v>91</v>
      </c>
      <c r="B108" s="62">
        <f t="shared" si="38"/>
        <v>91</v>
      </c>
      <c r="C108" s="62" t="s">
        <v>52</v>
      </c>
      <c r="D108" s="62" t="s">
        <v>1038</v>
      </c>
      <c r="E108" s="123">
        <v>1992</v>
      </c>
      <c r="F108" s="123">
        <v>2013</v>
      </c>
      <c r="G108" s="123" t="s">
        <v>43</v>
      </c>
      <c r="H108" s="123">
        <v>5</v>
      </c>
      <c r="I108" s="123">
        <v>4</v>
      </c>
      <c r="J108" s="64">
        <v>5274.7</v>
      </c>
      <c r="K108" s="64">
        <v>4397.95</v>
      </c>
      <c r="L108" s="64">
        <v>82.7</v>
      </c>
      <c r="M108" s="124">
        <v>351</v>
      </c>
      <c r="N108" s="63">
        <f t="shared" si="37"/>
        <v>27714212.622847084</v>
      </c>
      <c r="O108" s="64"/>
      <c r="P108" s="65">
        <v>2576094.2200000002</v>
      </c>
      <c r="Q108" s="65"/>
      <c r="R108" s="65">
        <f>+AQ108+AR108-94851</f>
        <v>2358216.9700000002</v>
      </c>
      <c r="S108" s="65">
        <f>+'Приложение №2'!E117-'Приложение №1'!P108-'Приложение №1'!R108-'Приложение №1'!T108</f>
        <v>13394024.162847083</v>
      </c>
      <c r="T108" s="64">
        <v>9385877.2699999996</v>
      </c>
      <c r="U108" s="65">
        <f t="shared" si="34"/>
        <v>6185.310752423663</v>
      </c>
      <c r="V108" s="65">
        <f t="shared" si="34"/>
        <v>6185.310752423663</v>
      </c>
      <c r="W108" s="126">
        <v>2022</v>
      </c>
      <c r="X108" s="127" t="e">
        <f>+#REF!-'[1]Приложение №1'!$P1088</f>
        <v>#REF!</v>
      </c>
      <c r="Z108" s="63">
        <f t="shared" si="35"/>
        <v>73758689.839999989</v>
      </c>
      <c r="AA108" s="64">
        <v>6929151.7355478602</v>
      </c>
      <c r="AB108" s="64">
        <v>4007317.8733992605</v>
      </c>
      <c r="AC108" s="64">
        <v>4236031.7089398</v>
      </c>
      <c r="AD108" s="64">
        <v>3230010.1851276006</v>
      </c>
      <c r="AE108" s="64">
        <v>0</v>
      </c>
      <c r="AF108" s="64"/>
      <c r="AG108" s="64">
        <v>344307.72949692002</v>
      </c>
      <c r="AH108" s="64">
        <v>0</v>
      </c>
      <c r="AI108" s="64">
        <v>12334945.070788199</v>
      </c>
      <c r="AJ108" s="64">
        <v>0</v>
      </c>
      <c r="AK108" s="64">
        <v>23948365.833656877</v>
      </c>
      <c r="AL108" s="64">
        <v>9418585.1320217997</v>
      </c>
      <c r="AM108" s="64">
        <v>7163024.8004000001</v>
      </c>
      <c r="AN108" s="65">
        <v>737586.89840000006</v>
      </c>
      <c r="AO108" s="66">
        <v>1409362.8722216799</v>
      </c>
      <c r="AP108" s="128">
        <f>+N108-'Приложение №2'!E117</f>
        <v>0</v>
      </c>
      <c r="AQ108" s="23">
        <v>1987606.27</v>
      </c>
      <c r="AR108" s="25">
        <f t="shared" si="36"/>
        <v>465461.7</v>
      </c>
      <c r="AS108" s="25">
        <f>+(K108*10+L108*20)*12*30</f>
        <v>16428060</v>
      </c>
      <c r="AT108" s="127">
        <f t="shared" si="31"/>
        <v>-3034035.8371529169</v>
      </c>
      <c r="AW108" s="63">
        <f t="shared" si="32"/>
        <v>27714212.62284708</v>
      </c>
      <c r="AX108" s="64"/>
      <c r="AY108" s="71"/>
      <c r="AZ108" s="64">
        <v>3146864.52</v>
      </c>
      <c r="BA108" s="64">
        <v>2896787.04</v>
      </c>
      <c r="BB108" s="64">
        <v>0</v>
      </c>
      <c r="BC108" s="64"/>
      <c r="BD108" s="64"/>
      <c r="BE108" s="64">
        <v>0</v>
      </c>
      <c r="BF108" s="64">
        <v>9859124.0999999996</v>
      </c>
      <c r="BG108" s="64">
        <v>0</v>
      </c>
      <c r="BH108" s="64">
        <v>6508599.5899999999</v>
      </c>
      <c r="BI108" s="64">
        <v>3276300</v>
      </c>
      <c r="BJ108" s="64">
        <v>434057.50000000006</v>
      </c>
      <c r="BK108" s="65">
        <v>24000</v>
      </c>
      <c r="BL108" s="66">
        <v>1568479.8728470802</v>
      </c>
    </row>
    <row r="109" spans="1:64" x14ac:dyDescent="0.25">
      <c r="A109" s="122">
        <f t="shared" si="38"/>
        <v>92</v>
      </c>
      <c r="B109" s="62">
        <f t="shared" si="38"/>
        <v>92</v>
      </c>
      <c r="C109" s="62" t="s">
        <v>52</v>
      </c>
      <c r="D109" s="62" t="s">
        <v>1039</v>
      </c>
      <c r="E109" s="123">
        <v>1987</v>
      </c>
      <c r="F109" s="123">
        <v>1987</v>
      </c>
      <c r="G109" s="123" t="s">
        <v>43</v>
      </c>
      <c r="H109" s="123">
        <v>5</v>
      </c>
      <c r="I109" s="123">
        <v>3</v>
      </c>
      <c r="J109" s="64">
        <v>5170.7</v>
      </c>
      <c r="K109" s="64">
        <v>2871.7</v>
      </c>
      <c r="L109" s="64">
        <v>2299</v>
      </c>
      <c r="M109" s="124">
        <v>334</v>
      </c>
      <c r="N109" s="63">
        <f t="shared" si="37"/>
        <v>14611197.907108922</v>
      </c>
      <c r="O109" s="64"/>
      <c r="P109" s="65">
        <v>3490403.93</v>
      </c>
      <c r="Q109" s="65"/>
      <c r="R109" s="65">
        <f>2347658.31-144404.29</f>
        <v>2203254.02</v>
      </c>
      <c r="S109" s="65">
        <f>+'Приложение №2'!E118-'Приложение №1'!P109-'Приложение №1'!R109-'Приложение №1'!T109</f>
        <v>8917539.9571089204</v>
      </c>
      <c r="T109" s="64"/>
      <c r="U109" s="65">
        <f t="shared" si="34"/>
        <v>2825.7678664608125</v>
      </c>
      <c r="V109" s="65">
        <f t="shared" si="34"/>
        <v>2825.7678664608125</v>
      </c>
      <c r="W109" s="126">
        <v>2022</v>
      </c>
      <c r="X109" s="127" t="e">
        <f>+#REF!-'[1]Приложение №1'!$P1090</f>
        <v>#REF!</v>
      </c>
      <c r="Z109" s="63">
        <f t="shared" si="35"/>
        <v>44376055.650000006</v>
      </c>
      <c r="AA109" s="64">
        <v>6705846.8643129608</v>
      </c>
      <c r="AB109" s="64">
        <v>2389568.92118868</v>
      </c>
      <c r="AC109" s="64">
        <v>2496567.8323118398</v>
      </c>
      <c r="AD109" s="64">
        <v>1563009.3139332</v>
      </c>
      <c r="AE109" s="64">
        <v>0</v>
      </c>
      <c r="AF109" s="64"/>
      <c r="AG109" s="64">
        <v>257321.70331307995</v>
      </c>
      <c r="AH109" s="64">
        <v>0</v>
      </c>
      <c r="AI109" s="64">
        <v>12259308.387853799</v>
      </c>
      <c r="AJ109" s="64">
        <v>0</v>
      </c>
      <c r="AK109" s="64">
        <v>6365089.67499342</v>
      </c>
      <c r="AL109" s="64">
        <v>6865494.2663706001</v>
      </c>
      <c r="AM109" s="64">
        <v>4179375.6532000005</v>
      </c>
      <c r="AN109" s="65">
        <v>443760.55650000001</v>
      </c>
      <c r="AO109" s="66">
        <v>850712.47602241999</v>
      </c>
      <c r="AP109" s="128">
        <f>+N109-'Приложение №2'!E118</f>
        <v>0</v>
      </c>
      <c r="AQ109" s="23">
        <v>2578731.31</v>
      </c>
      <c r="AR109" s="25">
        <f t="shared" si="36"/>
        <v>761909.4</v>
      </c>
      <c r="AS109" s="25">
        <f>+(K109*10+L109*20)*12*30</f>
        <v>26890920</v>
      </c>
      <c r="AT109" s="127">
        <f t="shared" si="31"/>
        <v>-17973380.042891078</v>
      </c>
      <c r="AW109" s="63">
        <f t="shared" si="32"/>
        <v>14611197.90710892</v>
      </c>
      <c r="AX109" s="64"/>
      <c r="AY109" s="71"/>
      <c r="AZ109" s="64">
        <v>2731732.82</v>
      </c>
      <c r="BA109" s="71"/>
      <c r="BB109" s="64">
        <v>0</v>
      </c>
      <c r="BC109" s="64"/>
      <c r="BD109" s="64"/>
      <c r="BE109" s="64">
        <v>0</v>
      </c>
      <c r="BF109" s="64">
        <v>9356498.1500000004</v>
      </c>
      <c r="BG109" s="64">
        <v>0</v>
      </c>
      <c r="BH109" s="64"/>
      <c r="BI109" s="64">
        <v>1381241.93</v>
      </c>
      <c r="BJ109" s="64">
        <v>311041.28110000002</v>
      </c>
      <c r="BK109" s="65">
        <v>45051.6011</v>
      </c>
      <c r="BL109" s="66">
        <v>785632.12490892003</v>
      </c>
    </row>
    <row r="110" spans="1:64" x14ac:dyDescent="0.25">
      <c r="A110" s="122">
        <f t="shared" si="38"/>
        <v>93</v>
      </c>
      <c r="B110" s="62">
        <f t="shared" si="38"/>
        <v>93</v>
      </c>
      <c r="C110" s="62" t="s">
        <v>52</v>
      </c>
      <c r="D110" s="62" t="s">
        <v>1040</v>
      </c>
      <c r="E110" s="123">
        <v>1970</v>
      </c>
      <c r="F110" s="123">
        <v>2013</v>
      </c>
      <c r="G110" s="123" t="s">
        <v>43</v>
      </c>
      <c r="H110" s="123">
        <v>4</v>
      </c>
      <c r="I110" s="123">
        <v>4</v>
      </c>
      <c r="J110" s="64">
        <v>3209.3</v>
      </c>
      <c r="K110" s="64">
        <v>2718.2</v>
      </c>
      <c r="L110" s="64">
        <v>0</v>
      </c>
      <c r="M110" s="124">
        <v>128</v>
      </c>
      <c r="N110" s="63">
        <f t="shared" si="37"/>
        <v>1092667.3</v>
      </c>
      <c r="O110" s="64"/>
      <c r="P110" s="65">
        <v>923688.17</v>
      </c>
      <c r="Q110" s="65"/>
      <c r="R110" s="65"/>
      <c r="S110" s="65">
        <v>168979.13</v>
      </c>
      <c r="T110" s="64">
        <f>+'Приложение №2'!E119-'Приложение №1'!P110-'Приложение №1'!Q110-'Приложение №1'!R110-'Приложение №1'!S110</f>
        <v>0</v>
      </c>
      <c r="U110" s="65">
        <f t="shared" si="34"/>
        <v>401.98193657567515</v>
      </c>
      <c r="V110" s="65">
        <f t="shared" si="34"/>
        <v>401.98193657567515</v>
      </c>
      <c r="W110" s="126">
        <v>2022</v>
      </c>
      <c r="X110" s="127" t="e">
        <f>+#REF!-'[1]Приложение №1'!$P687</f>
        <v>#REF!</v>
      </c>
      <c r="Z110" s="63">
        <f t="shared" si="35"/>
        <v>8384825.7976820003</v>
      </c>
      <c r="AA110" s="64">
        <v>0</v>
      </c>
      <c r="AB110" s="64">
        <v>0</v>
      </c>
      <c r="AC110" s="64">
        <v>0</v>
      </c>
      <c r="AD110" s="64">
        <v>0</v>
      </c>
      <c r="AE110" s="64">
        <v>1159895.3899999999</v>
      </c>
      <c r="AF110" s="64"/>
      <c r="AG110" s="64">
        <v>0</v>
      </c>
      <c r="AH110" s="64">
        <v>0</v>
      </c>
      <c r="AI110" s="64">
        <v>0</v>
      </c>
      <c r="AJ110" s="64">
        <v>0</v>
      </c>
      <c r="AK110" s="64">
        <v>6147987.2414091602</v>
      </c>
      <c r="AL110" s="64">
        <v>0</v>
      </c>
      <c r="AM110" s="64">
        <v>864115.30400000012</v>
      </c>
      <c r="AN110" s="65">
        <v>72811.335399999996</v>
      </c>
      <c r="AO110" s="66">
        <v>140016.52687284001</v>
      </c>
      <c r="AP110" s="128">
        <f>+N110-'Приложение №2'!E119</f>
        <v>0</v>
      </c>
      <c r="AQ110" s="23">
        <v>1140903.55</v>
      </c>
      <c r="AR110" s="25">
        <f t="shared" si="36"/>
        <v>277256.39999999997</v>
      </c>
      <c r="AS110" s="25">
        <f>+(K110*10+L110*20)*12*30</f>
        <v>9785520</v>
      </c>
      <c r="AT110" s="127">
        <f t="shared" si="31"/>
        <v>-9616540.8699999992</v>
      </c>
      <c r="AW110" s="63">
        <f t="shared" si="32"/>
        <v>1092667.3</v>
      </c>
      <c r="AX110" s="64">
        <v>0</v>
      </c>
      <c r="AY110" s="64">
        <v>0</v>
      </c>
      <c r="AZ110" s="64">
        <v>0</v>
      </c>
      <c r="BA110" s="64">
        <v>0</v>
      </c>
      <c r="BB110" s="64">
        <v>1092667.3</v>
      </c>
      <c r="BC110" s="64"/>
      <c r="BD110" s="64"/>
      <c r="BE110" s="64">
        <v>0</v>
      </c>
      <c r="BF110" s="64">
        <v>0</v>
      </c>
      <c r="BG110" s="64">
        <v>0</v>
      </c>
      <c r="BH110" s="64"/>
      <c r="BI110" s="64">
        <v>0</v>
      </c>
      <c r="BJ110" s="64"/>
      <c r="BK110" s="65"/>
      <c r="BL110" s="66"/>
    </row>
    <row r="111" spans="1:64" x14ac:dyDescent="0.25">
      <c r="A111" s="122">
        <f t="shared" si="38"/>
        <v>94</v>
      </c>
      <c r="B111" s="62">
        <f t="shared" si="38"/>
        <v>94</v>
      </c>
      <c r="C111" s="62" t="s">
        <v>52</v>
      </c>
      <c r="D111" s="62" t="s">
        <v>1041</v>
      </c>
      <c r="E111" s="123">
        <v>1973</v>
      </c>
      <c r="F111" s="123">
        <v>2013</v>
      </c>
      <c r="G111" s="123" t="s">
        <v>43</v>
      </c>
      <c r="H111" s="123">
        <v>4</v>
      </c>
      <c r="I111" s="123">
        <v>4</v>
      </c>
      <c r="J111" s="64">
        <v>4678.76</v>
      </c>
      <c r="K111" s="64">
        <v>3451.8</v>
      </c>
      <c r="L111" s="64">
        <v>0</v>
      </c>
      <c r="M111" s="124">
        <v>168</v>
      </c>
      <c r="N111" s="95">
        <f t="shared" si="37"/>
        <v>1944736.54</v>
      </c>
      <c r="O111" s="64"/>
      <c r="P111" s="65"/>
      <c r="Q111" s="65"/>
      <c r="R111" s="65">
        <f t="shared" ref="R111" si="39">+AQ111+AR111</f>
        <v>1874829.5699999998</v>
      </c>
      <c r="S111" s="65">
        <f>+'Приложение №2'!E120-'Приложение №1'!R111</f>
        <v>69906.970000000205</v>
      </c>
      <c r="T111" s="65">
        <v>0</v>
      </c>
      <c r="U111" s="64">
        <f t="shared" si="34"/>
        <v>563.39780404426676</v>
      </c>
      <c r="V111" s="64">
        <f t="shared" si="34"/>
        <v>563.39780404426676</v>
      </c>
      <c r="W111" s="126">
        <v>2022</v>
      </c>
      <c r="X111" s="127">
        <f>+S111-'[1]Приложение №1'!$P480</f>
        <v>-3470711.4604999996</v>
      </c>
      <c r="Z111" s="63">
        <f t="shared" si="35"/>
        <v>1494080.68</v>
      </c>
      <c r="AA111" s="64">
        <v>0</v>
      </c>
      <c r="AB111" s="64">
        <v>0</v>
      </c>
      <c r="AC111" s="64">
        <v>0</v>
      </c>
      <c r="AD111" s="64">
        <v>0</v>
      </c>
      <c r="AE111" s="64">
        <v>1274871.31</v>
      </c>
      <c r="AF111" s="64"/>
      <c r="AG111" s="64">
        <v>0</v>
      </c>
      <c r="AH111" s="64">
        <v>0</v>
      </c>
      <c r="AI111" s="64">
        <v>0</v>
      </c>
      <c r="AJ111" s="64">
        <v>0</v>
      </c>
      <c r="AK111" s="64">
        <v>0</v>
      </c>
      <c r="AL111" s="64">
        <v>0</v>
      </c>
      <c r="AM111" s="64">
        <v>209316.16</v>
      </c>
      <c r="AN111" s="65">
        <v>2500</v>
      </c>
      <c r="AO111" s="66">
        <v>7393.21</v>
      </c>
      <c r="AP111" s="128">
        <f>+N111-'Приложение №2'!E120</f>
        <v>0</v>
      </c>
      <c r="AQ111" s="127">
        <f>1522745.97</f>
        <v>1522745.97</v>
      </c>
      <c r="AR111" s="25">
        <f t="shared" si="36"/>
        <v>352083.6</v>
      </c>
      <c r="AS111" s="25">
        <f t="shared" ref="AS111" si="40">+(K111*10+L111*20)*12*30</f>
        <v>12426480</v>
      </c>
      <c r="AT111" s="127">
        <f t="shared" si="31"/>
        <v>-12356573.029999999</v>
      </c>
      <c r="AU111" s="127">
        <f>+P111-'[6]Приложение №1'!$P100</f>
        <v>-474969.93999999994</v>
      </c>
      <c r="AV111" s="127">
        <f>+Q111-'[6]Приложение №1'!$Q100</f>
        <v>0</v>
      </c>
      <c r="AW111" s="63">
        <f t="shared" si="32"/>
        <v>1944736.54</v>
      </c>
      <c r="AX111" s="64">
        <v>0</v>
      </c>
      <c r="AY111" s="64">
        <v>0</v>
      </c>
      <c r="AZ111" s="64">
        <v>0</v>
      </c>
      <c r="BA111" s="64">
        <v>0</v>
      </c>
      <c r="BB111" s="64"/>
      <c r="BC111" s="64"/>
      <c r="BD111" s="64"/>
      <c r="BE111" s="64">
        <v>0</v>
      </c>
      <c r="BF111" s="64">
        <v>0</v>
      </c>
      <c r="BG111" s="64">
        <v>0</v>
      </c>
      <c r="BH111" s="64">
        <v>0</v>
      </c>
      <c r="BI111" s="64">
        <v>1937343.33</v>
      </c>
      <c r="BJ111" s="64"/>
      <c r="BK111" s="65"/>
      <c r="BL111" s="66">
        <v>7393.21</v>
      </c>
    </row>
    <row r="112" spans="1:64" x14ac:dyDescent="0.25">
      <c r="A112" s="122">
        <f t="shared" si="38"/>
        <v>95</v>
      </c>
      <c r="B112" s="62">
        <f t="shared" si="38"/>
        <v>95</v>
      </c>
      <c r="C112" s="62" t="s">
        <v>52</v>
      </c>
      <c r="D112" s="62" t="s">
        <v>1042</v>
      </c>
      <c r="E112" s="123">
        <v>1989</v>
      </c>
      <c r="F112" s="123">
        <v>2012</v>
      </c>
      <c r="G112" s="123" t="s">
        <v>43</v>
      </c>
      <c r="H112" s="123">
        <v>9</v>
      </c>
      <c r="I112" s="123">
        <v>1</v>
      </c>
      <c r="J112" s="64">
        <v>5704.32</v>
      </c>
      <c r="K112" s="64">
        <v>3900.7</v>
      </c>
      <c r="L112" s="64">
        <v>0</v>
      </c>
      <c r="M112" s="124">
        <v>280</v>
      </c>
      <c r="N112" s="95">
        <f>+P112+Q112+R112+S112+T112</f>
        <v>3493023.9110059999</v>
      </c>
      <c r="O112" s="64"/>
      <c r="P112" s="65"/>
      <c r="Q112" s="65"/>
      <c r="R112" s="65">
        <f>+AQ112+AR112</f>
        <v>2691688.4905999997</v>
      </c>
      <c r="S112" s="65">
        <f>+'Приложение №2'!E121-'Приложение №1'!R112</f>
        <v>801335.42040600022</v>
      </c>
      <c r="T112" s="65">
        <v>0</v>
      </c>
      <c r="U112" s="64">
        <f>$N112/($K112+$L112)</f>
        <v>895.48642833491431</v>
      </c>
      <c r="V112" s="64">
        <f>$N112/($K112+$L112)</f>
        <v>895.48642833491431</v>
      </c>
      <c r="W112" s="126">
        <v>2022</v>
      </c>
      <c r="X112" s="127" t="e">
        <f>+#REF!-'[1]Приложение №1'!$P1479</f>
        <v>#REF!</v>
      </c>
      <c r="Z112" s="63">
        <f>SUM(AA112:AO112)</f>
        <v>4018667.23</v>
      </c>
      <c r="AA112" s="64">
        <v>0</v>
      </c>
      <c r="AB112" s="64">
        <v>0</v>
      </c>
      <c r="AC112" s="64">
        <v>0</v>
      </c>
      <c r="AD112" s="64">
        <v>0</v>
      </c>
      <c r="AE112" s="64">
        <v>0</v>
      </c>
      <c r="AF112" s="64"/>
      <c r="AG112" s="64">
        <v>0</v>
      </c>
      <c r="AH112" s="64">
        <v>0</v>
      </c>
      <c r="AI112" s="64">
        <v>3789709.0289940001</v>
      </c>
      <c r="AJ112" s="64">
        <v>0</v>
      </c>
      <c r="AK112" s="64">
        <v>0</v>
      </c>
      <c r="AL112" s="64">
        <v>0</v>
      </c>
      <c r="AM112" s="64">
        <v>122084.94</v>
      </c>
      <c r="AN112" s="64">
        <v>24000</v>
      </c>
      <c r="AO112" s="66">
        <v>82873.261006000001</v>
      </c>
      <c r="AP112" s="128">
        <f>+N112-'Приложение №2'!E121</f>
        <v>0</v>
      </c>
      <c r="AQ112" s="23">
        <v>2162917.4</v>
      </c>
      <c r="AR112" s="25">
        <f>+(K112*13.29+L112*22.52)*12*0.85</f>
        <v>528771.09059999988</v>
      </c>
      <c r="AS112" s="25">
        <f>+(K112*13.29+L112*22.52)*12*30</f>
        <v>18662509.079999998</v>
      </c>
      <c r="AT112" s="127">
        <f>+S112-AS112</f>
        <v>-17861173.659593999</v>
      </c>
      <c r="AU112" s="127">
        <f>+P112-'[6]Приложение №1'!$P312</f>
        <v>-6968602.897110614</v>
      </c>
      <c r="AV112" s="127">
        <f>+Q112-'[6]Приложение №1'!$Q312</f>
        <v>0</v>
      </c>
      <c r="AW112" s="63">
        <f t="shared" si="32"/>
        <v>3493023.9110059999</v>
      </c>
      <c r="AX112" s="64">
        <v>0</v>
      </c>
      <c r="AY112" s="64">
        <v>0</v>
      </c>
      <c r="AZ112" s="64">
        <v>0</v>
      </c>
      <c r="BA112" s="64">
        <v>0</v>
      </c>
      <c r="BB112" s="64">
        <v>0</v>
      </c>
      <c r="BC112" s="64"/>
      <c r="BD112" s="64"/>
      <c r="BE112" s="64">
        <v>0</v>
      </c>
      <c r="BF112" s="64">
        <v>3264065.71</v>
      </c>
      <c r="BG112" s="64">
        <v>0</v>
      </c>
      <c r="BH112" s="64">
        <v>0</v>
      </c>
      <c r="BI112" s="64">
        <v>0</v>
      </c>
      <c r="BJ112" s="64">
        <v>122084.94</v>
      </c>
      <c r="BK112" s="64">
        <v>24000</v>
      </c>
      <c r="BL112" s="66">
        <v>82873.261006000001</v>
      </c>
    </row>
    <row r="113" spans="1:64" x14ac:dyDescent="0.25">
      <c r="A113" s="122">
        <f t="shared" si="38"/>
        <v>96</v>
      </c>
      <c r="B113" s="62">
        <f t="shared" si="38"/>
        <v>96</v>
      </c>
      <c r="C113" s="62" t="s">
        <v>52</v>
      </c>
      <c r="D113" s="62" t="s">
        <v>1043</v>
      </c>
      <c r="E113" s="123">
        <v>1992</v>
      </c>
      <c r="F113" s="123">
        <v>2013</v>
      </c>
      <c r="G113" s="123" t="s">
        <v>43</v>
      </c>
      <c r="H113" s="123">
        <v>10</v>
      </c>
      <c r="I113" s="123">
        <v>4</v>
      </c>
      <c r="J113" s="64">
        <v>12644.49</v>
      </c>
      <c r="K113" s="64">
        <v>10557.43</v>
      </c>
      <c r="L113" s="64">
        <v>90.5</v>
      </c>
      <c r="M113" s="124">
        <v>379</v>
      </c>
      <c r="N113" s="63">
        <f t="shared" si="37"/>
        <v>8609691.4240093995</v>
      </c>
      <c r="O113" s="64"/>
      <c r="P113" s="65"/>
      <c r="Q113" s="65"/>
      <c r="R113" s="65">
        <v>6910298.2999999998</v>
      </c>
      <c r="S113" s="65">
        <f>+'Приложение №2'!E122-'Приложение №1'!R113</f>
        <v>1699393.1240093997</v>
      </c>
      <c r="T113" s="64">
        <f>+'Приложение №2'!E122-'Приложение №1'!P113-'Приложение №1'!Q113-'Приложение №1'!R113-'Приложение №1'!S113</f>
        <v>0</v>
      </c>
      <c r="U113" s="65">
        <f t="shared" si="34"/>
        <v>808.57889035797564</v>
      </c>
      <c r="V113" s="65">
        <f t="shared" si="34"/>
        <v>808.57889035797564</v>
      </c>
      <c r="W113" s="126">
        <v>2022</v>
      </c>
      <c r="X113" s="127" t="e">
        <f>+#REF!-'[1]Приложение №1'!$P1093</f>
        <v>#REF!</v>
      </c>
      <c r="Z113" s="63">
        <f t="shared" si="35"/>
        <v>9468137.6899999976</v>
      </c>
      <c r="AA113" s="64">
        <v>0</v>
      </c>
      <c r="AB113" s="64">
        <v>0</v>
      </c>
      <c r="AC113" s="64">
        <v>0</v>
      </c>
      <c r="AD113" s="64">
        <v>0</v>
      </c>
      <c r="AE113" s="64">
        <v>0</v>
      </c>
      <c r="AF113" s="64"/>
      <c r="AG113" s="64">
        <v>0</v>
      </c>
      <c r="AH113" s="64">
        <v>0</v>
      </c>
      <c r="AI113" s="64">
        <v>8338967.5890905978</v>
      </c>
      <c r="AJ113" s="64">
        <v>0</v>
      </c>
      <c r="AK113" s="64">
        <v>0</v>
      </c>
      <c r="AL113" s="64">
        <v>0</v>
      </c>
      <c r="AM113" s="64">
        <v>852132.39209999994</v>
      </c>
      <c r="AN113" s="65">
        <v>94681.376900000003</v>
      </c>
      <c r="AO113" s="66">
        <v>182356.33190939997</v>
      </c>
      <c r="AP113" s="128">
        <f>+N113-'Приложение №2'!E122</f>
        <v>0</v>
      </c>
      <c r="AQ113" s="23">
        <v>6495346.2400000002</v>
      </c>
      <c r="AR113" s="25">
        <f>+(K113*13.29+L113*22.52)*12*0.85</f>
        <v>1451932.3079399997</v>
      </c>
      <c r="AS113" s="25">
        <f>+(K113*13.29+L113*22.52)*12*30</f>
        <v>51244669.691999994</v>
      </c>
      <c r="AT113" s="127">
        <f t="shared" si="31"/>
        <v>-49545276.567990594</v>
      </c>
      <c r="AW113" s="63">
        <f t="shared" si="32"/>
        <v>8609691.4240093995</v>
      </c>
      <c r="AX113" s="64">
        <v>0</v>
      </c>
      <c r="AY113" s="64">
        <v>0</v>
      </c>
      <c r="AZ113" s="64">
        <v>0</v>
      </c>
      <c r="BA113" s="64">
        <v>0</v>
      </c>
      <c r="BB113" s="64">
        <v>0</v>
      </c>
      <c r="BC113" s="64"/>
      <c r="BD113" s="64"/>
      <c r="BE113" s="64">
        <v>0</v>
      </c>
      <c r="BF113" s="64">
        <v>7551202.7000000002</v>
      </c>
      <c r="BG113" s="64">
        <v>0</v>
      </c>
      <c r="BH113" s="64">
        <v>0</v>
      </c>
      <c r="BI113" s="64">
        <v>0</v>
      </c>
      <c r="BJ113" s="64">
        <v>852132.39209999994</v>
      </c>
      <c r="BK113" s="65">
        <v>24000</v>
      </c>
      <c r="BL113" s="66">
        <v>182356.33190939997</v>
      </c>
    </row>
    <row r="114" spans="1:64" x14ac:dyDescent="0.25">
      <c r="A114" s="122">
        <f t="shared" si="38"/>
        <v>97</v>
      </c>
      <c r="B114" s="62">
        <f t="shared" si="38"/>
        <v>97</v>
      </c>
      <c r="C114" s="62" t="s">
        <v>52</v>
      </c>
      <c r="D114" s="62" t="s">
        <v>1044</v>
      </c>
      <c r="E114" s="123">
        <v>1980</v>
      </c>
      <c r="F114" s="123">
        <v>2008</v>
      </c>
      <c r="G114" s="123" t="s">
        <v>43</v>
      </c>
      <c r="H114" s="123">
        <v>5</v>
      </c>
      <c r="I114" s="123">
        <v>6</v>
      </c>
      <c r="J114" s="64">
        <v>7149.4</v>
      </c>
      <c r="K114" s="64">
        <v>6325.2</v>
      </c>
      <c r="L114" s="64">
        <v>0</v>
      </c>
      <c r="M114" s="124">
        <v>293</v>
      </c>
      <c r="N114" s="63">
        <f t="shared" ref="N114:N131" si="41">+P114+Q114+R114+S114+T114</f>
        <v>18469307.326755162</v>
      </c>
      <c r="O114" s="64"/>
      <c r="P114" s="65"/>
      <c r="Q114" s="65"/>
      <c r="R114" s="65">
        <v>1661064.07</v>
      </c>
      <c r="S114" s="65">
        <f>+'Приложение №2'!E123-'Приложение №1'!R114</f>
        <v>16808243.256755162</v>
      </c>
      <c r="T114" s="65">
        <f>+'Приложение №2'!E123-'Приложение №1'!P114-'Приложение №1'!R114-'Приложение №1'!S114</f>
        <v>0</v>
      </c>
      <c r="U114" s="65">
        <f t="shared" si="34"/>
        <v>2919.9562585776202</v>
      </c>
      <c r="V114" s="65">
        <f t="shared" si="34"/>
        <v>2919.9562585776202</v>
      </c>
      <c r="W114" s="126">
        <v>2022</v>
      </c>
      <c r="X114" s="127" t="e">
        <f>+#REF!-'[1]Приложение №1'!$P1094</f>
        <v>#REF!</v>
      </c>
      <c r="Z114" s="63">
        <f t="shared" si="35"/>
        <v>114548451.67</v>
      </c>
      <c r="AA114" s="64">
        <v>10489330.258041179</v>
      </c>
      <c r="AB114" s="64">
        <v>6066266.4462859211</v>
      </c>
      <c r="AC114" s="64">
        <v>6412492.7922270596</v>
      </c>
      <c r="AD114" s="64">
        <v>4889580.2685996005</v>
      </c>
      <c r="AE114" s="64">
        <v>1953287.2251610199</v>
      </c>
      <c r="AF114" s="64"/>
      <c r="AG114" s="64">
        <v>521212.05792599992</v>
      </c>
      <c r="AH114" s="64">
        <v>0</v>
      </c>
      <c r="AI114" s="64">
        <v>18672604.894377001</v>
      </c>
      <c r="AJ114" s="64">
        <v>0</v>
      </c>
      <c r="AK114" s="64">
        <v>36252968.326471262</v>
      </c>
      <c r="AL114" s="64">
        <v>14257827.475101</v>
      </c>
      <c r="AM114" s="64">
        <v>11711193.4519</v>
      </c>
      <c r="AN114" s="65">
        <v>1145484.5167</v>
      </c>
      <c r="AO114" s="66">
        <v>2176203.9572099601</v>
      </c>
      <c r="AP114" s="128">
        <f>+N114-'Приложение №2'!E123</f>
        <v>0</v>
      </c>
      <c r="AQ114" s="23">
        <v>3044323.81</v>
      </c>
      <c r="AR114" s="25">
        <f t="shared" ref="AR114:AR122" si="42">+(K114*10+L114*20)*12*0.85</f>
        <v>645170.4</v>
      </c>
      <c r="AS114" s="25">
        <f t="shared" ref="AS114:AS122" si="43">+(K114*10+L114*20)*12*30</f>
        <v>22770720</v>
      </c>
      <c r="AT114" s="127">
        <f t="shared" si="31"/>
        <v>-5962476.743244838</v>
      </c>
      <c r="AW114" s="63">
        <f t="shared" si="32"/>
        <v>18469307.326755162</v>
      </c>
      <c r="AX114" s="71"/>
      <c r="AY114" s="64"/>
      <c r="AZ114" s="71"/>
      <c r="BA114" s="71"/>
      <c r="BB114" s="64"/>
      <c r="BC114" s="64"/>
      <c r="BD114" s="64"/>
      <c r="BE114" s="64">
        <v>0</v>
      </c>
      <c r="BF114" s="64">
        <v>12780973.57</v>
      </c>
      <c r="BG114" s="64">
        <v>0</v>
      </c>
      <c r="BH114" s="64"/>
      <c r="BI114" s="64"/>
      <c r="BJ114" s="64">
        <v>4341944.4309</v>
      </c>
      <c r="BK114" s="65">
        <v>461523.41969999997</v>
      </c>
      <c r="BL114" s="66">
        <v>884865.90615516005</v>
      </c>
    </row>
    <row r="115" spans="1:64" x14ac:dyDescent="0.25">
      <c r="A115" s="122">
        <f t="shared" ref="A115:B130" si="44">+A114+1</f>
        <v>98</v>
      </c>
      <c r="B115" s="62">
        <f t="shared" si="44"/>
        <v>98</v>
      </c>
      <c r="C115" s="62" t="s">
        <v>52</v>
      </c>
      <c r="D115" s="62" t="s">
        <v>698</v>
      </c>
      <c r="E115" s="123">
        <v>1991</v>
      </c>
      <c r="F115" s="123">
        <v>2013</v>
      </c>
      <c r="G115" s="123" t="s">
        <v>43</v>
      </c>
      <c r="H115" s="123">
        <v>5</v>
      </c>
      <c r="I115" s="123">
        <v>6</v>
      </c>
      <c r="J115" s="64">
        <v>7178.4</v>
      </c>
      <c r="K115" s="64">
        <v>6274.92</v>
      </c>
      <c r="L115" s="64">
        <v>0</v>
      </c>
      <c r="M115" s="124">
        <v>326</v>
      </c>
      <c r="N115" s="63">
        <f t="shared" si="41"/>
        <v>24274955.771498859</v>
      </c>
      <c r="O115" s="64"/>
      <c r="P115" s="65"/>
      <c r="Q115" s="65"/>
      <c r="R115" s="65">
        <f>+AQ115+AR115</f>
        <v>3540174.4699999997</v>
      </c>
      <c r="S115" s="65">
        <f>+'Приложение №2'!E124-'Приложение №1'!P115-'Приложение №1'!Q115-'Приложение №1'!R115</f>
        <v>20734781.30149886</v>
      </c>
      <c r="T115" s="64">
        <f>+'Приложение №2'!E124-'Приложение №1'!P115-'Приложение №1'!Q115-'Приложение №1'!R115-'Приложение №1'!S115</f>
        <v>0</v>
      </c>
      <c r="U115" s="65">
        <f t="shared" si="34"/>
        <v>3868.5681684386191</v>
      </c>
      <c r="V115" s="65">
        <f t="shared" si="34"/>
        <v>3868.5681684386191</v>
      </c>
      <c r="W115" s="126">
        <v>2022</v>
      </c>
      <c r="X115" s="127" t="e">
        <f>+#REF!-'[1]Приложение №1'!$P1095</f>
        <v>#REF!</v>
      </c>
      <c r="Z115" s="63">
        <f t="shared" si="35"/>
        <v>114739882.34000002</v>
      </c>
      <c r="AA115" s="64">
        <v>10506859.78146714</v>
      </c>
      <c r="AB115" s="64">
        <v>6076404.2463314394</v>
      </c>
      <c r="AC115" s="64">
        <v>6423209.20185294</v>
      </c>
      <c r="AD115" s="64">
        <v>4897751.6187221995</v>
      </c>
      <c r="AE115" s="64">
        <v>1956551.5156395598</v>
      </c>
      <c r="AF115" s="64"/>
      <c r="AG115" s="64">
        <v>522083.09510700009</v>
      </c>
      <c r="AH115" s="64">
        <v>0</v>
      </c>
      <c r="AI115" s="64">
        <v>18703810.111480199</v>
      </c>
      <c r="AJ115" s="64">
        <v>0</v>
      </c>
      <c r="AK115" s="64">
        <v>36313553.428299837</v>
      </c>
      <c r="AL115" s="64">
        <v>14281654.8168945</v>
      </c>
      <c r="AM115" s="64">
        <v>11730764.922900002</v>
      </c>
      <c r="AN115" s="65">
        <v>1147398.8234000001</v>
      </c>
      <c r="AO115" s="66">
        <v>2179840.7779051797</v>
      </c>
      <c r="AP115" s="128">
        <f>+N115-'Приложение №2'!E124</f>
        <v>0</v>
      </c>
      <c r="AQ115" s="23">
        <v>2900132.63</v>
      </c>
      <c r="AR115" s="25">
        <f t="shared" si="42"/>
        <v>640041.83999999985</v>
      </c>
      <c r="AS115" s="25">
        <f t="shared" si="43"/>
        <v>22589711.999999996</v>
      </c>
      <c r="AT115" s="127">
        <f t="shared" si="31"/>
        <v>-1854930.6985011362</v>
      </c>
      <c r="AW115" s="63">
        <f t="shared" si="32"/>
        <v>24274955.771498859</v>
      </c>
      <c r="AX115" s="64"/>
      <c r="AY115" s="64"/>
      <c r="AZ115" s="64"/>
      <c r="BA115" s="64"/>
      <c r="BB115" s="64"/>
      <c r="BC115" s="64"/>
      <c r="BD115" s="64"/>
      <c r="BE115" s="64"/>
      <c r="BF115" s="64"/>
      <c r="BG115" s="64">
        <v>0</v>
      </c>
      <c r="BH115" s="64">
        <v>22920438.079999998</v>
      </c>
      <c r="BI115" s="64"/>
      <c r="BJ115" s="64">
        <v>237586.77</v>
      </c>
      <c r="BK115" s="65"/>
      <c r="BL115" s="66">
        <v>1116930.9214988602</v>
      </c>
    </row>
    <row r="116" spans="1:64" x14ac:dyDescent="0.25">
      <c r="A116" s="122">
        <f t="shared" si="44"/>
        <v>99</v>
      </c>
      <c r="B116" s="62">
        <f t="shared" si="44"/>
        <v>99</v>
      </c>
      <c r="C116" s="62" t="s">
        <v>52</v>
      </c>
      <c r="D116" s="62" t="s">
        <v>1045</v>
      </c>
      <c r="E116" s="123">
        <v>1988</v>
      </c>
      <c r="F116" s="123">
        <v>2013</v>
      </c>
      <c r="G116" s="123" t="s">
        <v>43</v>
      </c>
      <c r="H116" s="123">
        <v>5</v>
      </c>
      <c r="I116" s="123">
        <v>6</v>
      </c>
      <c r="J116" s="64">
        <v>7060</v>
      </c>
      <c r="K116" s="64">
        <v>6080.7</v>
      </c>
      <c r="L116" s="64">
        <v>143.1</v>
      </c>
      <c r="M116" s="124">
        <v>261</v>
      </c>
      <c r="N116" s="63">
        <f t="shared" si="41"/>
        <v>24384542.330598522</v>
      </c>
      <c r="O116" s="64"/>
      <c r="P116" s="65"/>
      <c r="Q116" s="65"/>
      <c r="R116" s="65">
        <f>+AQ116+AR116</f>
        <v>3405808.57</v>
      </c>
      <c r="S116" s="65">
        <f>+'Приложение №2'!E125-'Приложение №1'!P116-'Приложение №1'!Q116-'Приложение №1'!R116</f>
        <v>20978733.760598522</v>
      </c>
      <c r="T116" s="64">
        <f>+'Приложение №2'!E125-'Приложение №1'!P116-'Приложение №1'!Q116-'Приложение №1'!R116-'Приложение №1'!S116</f>
        <v>0</v>
      </c>
      <c r="U116" s="65">
        <f t="shared" si="34"/>
        <v>3917.9508227447091</v>
      </c>
      <c r="V116" s="65">
        <f t="shared" si="34"/>
        <v>3917.9508227447091</v>
      </c>
      <c r="W116" s="126">
        <v>2022</v>
      </c>
      <c r="X116" s="127" t="e">
        <f>+#REF!-'[1]Приложение №1'!$P1096</f>
        <v>#REF!</v>
      </c>
      <c r="Z116" s="63">
        <f t="shared" si="35"/>
        <v>113728034.62</v>
      </c>
      <c r="AA116" s="64">
        <v>10414203.74815548</v>
      </c>
      <c r="AB116" s="64">
        <v>6022818.7318051206</v>
      </c>
      <c r="AC116" s="64">
        <v>6366565.3410651591</v>
      </c>
      <c r="AD116" s="64">
        <v>4854560.1966455989</v>
      </c>
      <c r="AE116" s="64">
        <v>1939297.42329372</v>
      </c>
      <c r="AF116" s="64"/>
      <c r="AG116" s="64">
        <v>517479.04143600003</v>
      </c>
      <c r="AH116" s="64">
        <v>0</v>
      </c>
      <c r="AI116" s="64">
        <v>18538868.268521998</v>
      </c>
      <c r="AJ116" s="64">
        <v>0</v>
      </c>
      <c r="AK116" s="64">
        <v>35993317.908726364</v>
      </c>
      <c r="AL116" s="64">
        <v>14155710.295986</v>
      </c>
      <c r="AM116" s="64">
        <v>11627315.733400002</v>
      </c>
      <c r="AN116" s="65">
        <v>1137280.3462</v>
      </c>
      <c r="AO116" s="66">
        <v>2160617.5847645602</v>
      </c>
      <c r="AP116" s="128">
        <f>+N116-'Приложение №2'!E125</f>
        <v>0</v>
      </c>
      <c r="AQ116" s="23">
        <v>2756384.77</v>
      </c>
      <c r="AR116" s="25">
        <f t="shared" si="42"/>
        <v>649423.79999999993</v>
      </c>
      <c r="AS116" s="25">
        <f t="shared" si="43"/>
        <v>22920840</v>
      </c>
      <c r="AT116" s="127">
        <f t="shared" si="31"/>
        <v>-1942106.2394014783</v>
      </c>
      <c r="AW116" s="63">
        <f t="shared" si="32"/>
        <v>24384542.330598522</v>
      </c>
      <c r="AX116" s="64"/>
      <c r="AY116" s="64"/>
      <c r="AZ116" s="64"/>
      <c r="BA116" s="64"/>
      <c r="BB116" s="64"/>
      <c r="BC116" s="64"/>
      <c r="BD116" s="64"/>
      <c r="BE116" s="64"/>
      <c r="BF116" s="64"/>
      <c r="BG116" s="64">
        <v>0</v>
      </c>
      <c r="BH116" s="64">
        <v>23040371.91</v>
      </c>
      <c r="BI116" s="64"/>
      <c r="BJ116" s="64">
        <v>237124.23</v>
      </c>
      <c r="BK116" s="65"/>
      <c r="BL116" s="66">
        <v>1107046.1905985202</v>
      </c>
    </row>
    <row r="117" spans="1:64" x14ac:dyDescent="0.25">
      <c r="A117" s="122">
        <f t="shared" si="44"/>
        <v>100</v>
      </c>
      <c r="B117" s="62">
        <f t="shared" si="44"/>
        <v>100</v>
      </c>
      <c r="C117" s="62" t="s">
        <v>52</v>
      </c>
      <c r="D117" s="62" t="s">
        <v>699</v>
      </c>
      <c r="E117" s="123">
        <v>1975</v>
      </c>
      <c r="F117" s="123">
        <v>2013</v>
      </c>
      <c r="G117" s="123" t="s">
        <v>43</v>
      </c>
      <c r="H117" s="123">
        <v>4</v>
      </c>
      <c r="I117" s="123">
        <v>4</v>
      </c>
      <c r="J117" s="64">
        <v>2912.6</v>
      </c>
      <c r="K117" s="64">
        <v>2004.3</v>
      </c>
      <c r="L117" s="64">
        <v>902.2</v>
      </c>
      <c r="M117" s="124">
        <v>104</v>
      </c>
      <c r="N117" s="63">
        <f t="shared" si="41"/>
        <v>1151789.168633756</v>
      </c>
      <c r="O117" s="64"/>
      <c r="P117" s="65"/>
      <c r="Q117" s="65"/>
      <c r="R117" s="65">
        <f>+'Приложение №2'!E126</f>
        <v>1151789.168633756</v>
      </c>
      <c r="S117" s="65"/>
      <c r="T117" s="64">
        <f>+'Приложение №2'!E126-'Приложение №1'!P117-'Приложение №1'!Q117-'Приложение №1'!R117-'Приложение №1'!S117</f>
        <v>0</v>
      </c>
      <c r="U117" s="65">
        <f t="shared" si="34"/>
        <v>396.28046400610907</v>
      </c>
      <c r="V117" s="65">
        <f t="shared" si="34"/>
        <v>396.28046400610907</v>
      </c>
      <c r="W117" s="126">
        <v>2022</v>
      </c>
      <c r="X117" s="127" t="e">
        <f>+#REF!-'[1]Приложение №1'!$P691</f>
        <v>#REF!</v>
      </c>
      <c r="Z117" s="63">
        <f t="shared" si="35"/>
        <v>33480583.039703999</v>
      </c>
      <c r="AA117" s="64">
        <v>4910426.619134401</v>
      </c>
      <c r="AB117" s="64">
        <v>1749786.8763320402</v>
      </c>
      <c r="AC117" s="64">
        <v>1828137.9504292798</v>
      </c>
      <c r="AD117" s="64">
        <v>1144529.9445770402</v>
      </c>
      <c r="AE117" s="64">
        <v>818458.35</v>
      </c>
      <c r="AF117" s="64"/>
      <c r="AG117" s="64">
        <v>188426.51279339998</v>
      </c>
      <c r="AH117" s="64">
        <v>0</v>
      </c>
      <c r="AI117" s="64">
        <v>8977006.9994345997</v>
      </c>
      <c r="AJ117" s="64">
        <v>0</v>
      </c>
      <c r="AK117" s="64">
        <v>4660903.59852558</v>
      </c>
      <c r="AL117" s="64">
        <v>5027330.1025222801</v>
      </c>
      <c r="AM117" s="64">
        <v>3221989.0267999996</v>
      </c>
      <c r="AN117" s="65">
        <v>327170.53649999999</v>
      </c>
      <c r="AO117" s="66">
        <v>626416.52265538019</v>
      </c>
      <c r="AP117" s="128">
        <f>+N117-'Приложение №2'!E126</f>
        <v>0</v>
      </c>
      <c r="AQ117" s="23">
        <v>1936703.42</v>
      </c>
      <c r="AR117" s="25">
        <f t="shared" si="42"/>
        <v>388487.39999999997</v>
      </c>
      <c r="AS117" s="25">
        <f t="shared" si="43"/>
        <v>13711320</v>
      </c>
      <c r="AT117" s="127">
        <f t="shared" si="31"/>
        <v>-13711320</v>
      </c>
      <c r="AW117" s="63">
        <f t="shared" si="32"/>
        <v>1151789.168633756</v>
      </c>
      <c r="AX117" s="64"/>
      <c r="AY117" s="64"/>
      <c r="AZ117" s="64">
        <v>655531.02</v>
      </c>
      <c r="BA117" s="64"/>
      <c r="BB117" s="64"/>
      <c r="BC117" s="64"/>
      <c r="BD117" s="64"/>
      <c r="BE117" s="64"/>
      <c r="BF117" s="64"/>
      <c r="BG117" s="64"/>
      <c r="BH117" s="64"/>
      <c r="BI117" s="71"/>
      <c r="BJ117" s="64"/>
      <c r="BK117" s="65"/>
      <c r="BL117" s="66">
        <v>496258.14863375603</v>
      </c>
    </row>
    <row r="118" spans="1:64" x14ac:dyDescent="0.25">
      <c r="A118" s="122">
        <f t="shared" si="44"/>
        <v>101</v>
      </c>
      <c r="B118" s="62">
        <f t="shared" si="44"/>
        <v>101</v>
      </c>
      <c r="C118" s="62" t="s">
        <v>52</v>
      </c>
      <c r="D118" s="62" t="s">
        <v>700</v>
      </c>
      <c r="E118" s="123">
        <v>1993</v>
      </c>
      <c r="F118" s="123">
        <v>2013</v>
      </c>
      <c r="G118" s="123" t="s">
        <v>43</v>
      </c>
      <c r="H118" s="123">
        <v>5</v>
      </c>
      <c r="I118" s="123">
        <v>2</v>
      </c>
      <c r="J118" s="64">
        <v>2382.6999999999998</v>
      </c>
      <c r="K118" s="64">
        <v>2177.75</v>
      </c>
      <c r="L118" s="64">
        <v>0</v>
      </c>
      <c r="M118" s="124">
        <v>103</v>
      </c>
      <c r="N118" s="63">
        <f t="shared" si="41"/>
        <v>8825748.4216627013</v>
      </c>
      <c r="O118" s="64"/>
      <c r="P118" s="65">
        <f>218626.81+157679</f>
        <v>376305.81</v>
      </c>
      <c r="Q118" s="65"/>
      <c r="R118" s="65">
        <v>751589.24</v>
      </c>
      <c r="S118" s="65">
        <f>+'Приложение №2'!E127-'Приложение №1'!P118-'Приложение №1'!Q118-'Приложение №1'!R118</f>
        <v>7697853.3716627005</v>
      </c>
      <c r="T118" s="64">
        <f>+'Приложение №2'!E127-'Приложение №1'!P118-'Приложение №1'!Q118-'Приложение №1'!R118-'Приложение №1'!S118</f>
        <v>0</v>
      </c>
      <c r="U118" s="65">
        <f t="shared" si="34"/>
        <v>4052.6912738664682</v>
      </c>
      <c r="V118" s="65">
        <f t="shared" si="34"/>
        <v>4052.6912738664682</v>
      </c>
      <c r="W118" s="126">
        <v>2022</v>
      </c>
      <c r="X118" s="127" t="e">
        <f>+#REF!-'[1]Приложение №1'!$P1097</f>
        <v>#REF!</v>
      </c>
      <c r="Z118" s="63">
        <f t="shared" si="35"/>
        <v>22932892.859999996</v>
      </c>
      <c r="AA118" s="64">
        <v>5269271.9163684594</v>
      </c>
      <c r="AB118" s="64">
        <v>1877658.2087747399</v>
      </c>
      <c r="AC118" s="64">
        <v>1961735.0389824603</v>
      </c>
      <c r="AD118" s="64">
        <v>1228170.1704375602</v>
      </c>
      <c r="AE118" s="64"/>
      <c r="AF118" s="64"/>
      <c r="AG118" s="64">
        <v>202196.39026187998</v>
      </c>
      <c r="AH118" s="64">
        <v>0</v>
      </c>
      <c r="AI118" s="64">
        <v>9633030.8035121989</v>
      </c>
      <c r="AJ118" s="64">
        <v>0</v>
      </c>
      <c r="AK118" s="64">
        <v>0</v>
      </c>
      <c r="AL118" s="64">
        <v>0</v>
      </c>
      <c r="AM118" s="64">
        <v>2090379.2508999999</v>
      </c>
      <c r="AN118" s="65">
        <v>229328.92859999998</v>
      </c>
      <c r="AO118" s="66">
        <v>441122.15216270008</v>
      </c>
      <c r="AP118" s="128">
        <f>+N118-'Приложение №2'!E127</f>
        <v>0</v>
      </c>
      <c r="AQ118" s="23">
        <v>1043569.01</v>
      </c>
      <c r="AR118" s="25">
        <f t="shared" si="42"/>
        <v>222130.5</v>
      </c>
      <c r="AS118" s="25">
        <f t="shared" si="43"/>
        <v>7839900</v>
      </c>
      <c r="AT118" s="127">
        <f t="shared" si="31"/>
        <v>-142046.62833729945</v>
      </c>
      <c r="AW118" s="63">
        <f t="shared" si="32"/>
        <v>8825748.4216627013</v>
      </c>
      <c r="AX118" s="64"/>
      <c r="AY118" s="64">
        <v>1337737.05</v>
      </c>
      <c r="AZ118" s="64">
        <v>613148.77</v>
      </c>
      <c r="BA118" s="64">
        <v>943239.55</v>
      </c>
      <c r="BB118" s="64"/>
      <c r="BC118" s="64"/>
      <c r="BD118" s="64"/>
      <c r="BE118" s="64">
        <v>0</v>
      </c>
      <c r="BF118" s="64">
        <v>3170792.72</v>
      </c>
      <c r="BG118" s="64">
        <v>0</v>
      </c>
      <c r="BH118" s="64">
        <v>0</v>
      </c>
      <c r="BI118" s="64">
        <v>0</v>
      </c>
      <c r="BJ118" s="64">
        <v>2090379.2508999999</v>
      </c>
      <c r="BK118" s="65">
        <v>229328.92859999998</v>
      </c>
      <c r="BL118" s="66">
        <v>441122.15216270008</v>
      </c>
    </row>
    <row r="119" spans="1:64" x14ac:dyDescent="0.25">
      <c r="A119" s="122">
        <f t="shared" si="44"/>
        <v>102</v>
      </c>
      <c r="B119" s="62">
        <f t="shared" si="44"/>
        <v>102</v>
      </c>
      <c r="C119" s="62" t="s">
        <v>52</v>
      </c>
      <c r="D119" s="62" t="s">
        <v>701</v>
      </c>
      <c r="E119" s="123">
        <v>1966</v>
      </c>
      <c r="F119" s="123">
        <v>2013</v>
      </c>
      <c r="G119" s="123" t="s">
        <v>43</v>
      </c>
      <c r="H119" s="123">
        <v>4</v>
      </c>
      <c r="I119" s="123">
        <v>6</v>
      </c>
      <c r="J119" s="64">
        <v>2829.5</v>
      </c>
      <c r="K119" s="64">
        <v>2537.8000000000002</v>
      </c>
      <c r="L119" s="64">
        <v>230.6</v>
      </c>
      <c r="M119" s="124">
        <v>144</v>
      </c>
      <c r="N119" s="63">
        <f t="shared" si="41"/>
        <v>3582145.82</v>
      </c>
      <c r="O119" s="64"/>
      <c r="P119" s="65"/>
      <c r="Q119" s="65"/>
      <c r="R119" s="65">
        <f>+AQ119+AR119-102987.16</f>
        <v>1506343.8800000001</v>
      </c>
      <c r="S119" s="65">
        <f>+'Приложение №2'!E128-'Приложение №1'!R119</f>
        <v>2075801.9399999997</v>
      </c>
      <c r="T119" s="64">
        <f>+'Приложение №2'!E128-'Приложение №1'!P119-'Приложение №1'!Q119-'Приложение №1'!R119-'Приложение №1'!S119</f>
        <v>0</v>
      </c>
      <c r="U119" s="65">
        <f t="shared" si="34"/>
        <v>1293.9408394740644</v>
      </c>
      <c r="V119" s="65">
        <f t="shared" si="34"/>
        <v>1293.9408394740644</v>
      </c>
      <c r="W119" s="126">
        <v>2022</v>
      </c>
      <c r="X119" s="127" t="e">
        <f>+#REF!-'[1]Приложение №1'!$P1488</f>
        <v>#REF!</v>
      </c>
      <c r="Z119" s="63">
        <f t="shared" si="35"/>
        <v>15087934.029999999</v>
      </c>
      <c r="AA119" s="64">
        <v>6065034.6402882598</v>
      </c>
      <c r="AB119" s="64">
        <v>2161221.1824524999</v>
      </c>
      <c r="AC119" s="64">
        <v>2257995.2503873804</v>
      </c>
      <c r="AD119" s="64">
        <v>1413647.7960217199</v>
      </c>
      <c r="AE119" s="64">
        <v>864921.32273358025</v>
      </c>
      <c r="AF119" s="64"/>
      <c r="AG119" s="64">
        <v>232731.98563608</v>
      </c>
      <c r="AH119" s="64">
        <v>0</v>
      </c>
      <c r="AI119" s="64">
        <v>0</v>
      </c>
      <c r="AJ119" s="64">
        <v>0</v>
      </c>
      <c r="AK119" s="64">
        <v>0</v>
      </c>
      <c r="AL119" s="64">
        <v>0</v>
      </c>
      <c r="AM119" s="64">
        <v>1657316.1065</v>
      </c>
      <c r="AN119" s="65">
        <v>150879.34030000001</v>
      </c>
      <c r="AO119" s="66">
        <v>284186.40568048006</v>
      </c>
      <c r="AP119" s="128">
        <f>+N119-'Приложение №2'!E128</f>
        <v>0</v>
      </c>
      <c r="AQ119" s="23">
        <v>1303433.04</v>
      </c>
      <c r="AR119" s="25">
        <f t="shared" si="42"/>
        <v>305898</v>
      </c>
      <c r="AS119" s="25">
        <f t="shared" si="43"/>
        <v>10796400</v>
      </c>
      <c r="AT119" s="127">
        <f t="shared" si="31"/>
        <v>-8720598.0600000005</v>
      </c>
      <c r="AW119" s="63">
        <f t="shared" si="32"/>
        <v>3582145.82</v>
      </c>
      <c r="AX119" s="64">
        <v>2763321.73</v>
      </c>
      <c r="AY119" s="64"/>
      <c r="AZ119" s="64"/>
      <c r="BA119" s="64"/>
      <c r="BB119" s="64"/>
      <c r="BC119" s="64">
        <v>0</v>
      </c>
      <c r="BD119" s="64"/>
      <c r="BE119" s="64">
        <v>0</v>
      </c>
      <c r="BF119" s="64">
        <v>0</v>
      </c>
      <c r="BG119" s="64">
        <v>0</v>
      </c>
      <c r="BH119" s="64">
        <v>0</v>
      </c>
      <c r="BI119" s="64">
        <v>0</v>
      </c>
      <c r="BJ119" s="64">
        <v>788750.73</v>
      </c>
      <c r="BK119" s="65"/>
      <c r="BL119" s="66">
        <v>30073.360000000001</v>
      </c>
    </row>
    <row r="120" spans="1:64" x14ac:dyDescent="0.25">
      <c r="A120" s="122">
        <f t="shared" si="44"/>
        <v>103</v>
      </c>
      <c r="B120" s="62">
        <f t="shared" si="44"/>
        <v>103</v>
      </c>
      <c r="C120" s="62" t="s">
        <v>52</v>
      </c>
      <c r="D120" s="62" t="s">
        <v>702</v>
      </c>
      <c r="E120" s="123">
        <v>1973</v>
      </c>
      <c r="F120" s="123">
        <v>2013</v>
      </c>
      <c r="G120" s="123" t="s">
        <v>43</v>
      </c>
      <c r="H120" s="123">
        <v>5</v>
      </c>
      <c r="I120" s="123">
        <v>4</v>
      </c>
      <c r="J120" s="64">
        <v>3187.3</v>
      </c>
      <c r="K120" s="64">
        <v>2508.4</v>
      </c>
      <c r="L120" s="64">
        <v>678.9</v>
      </c>
      <c r="M120" s="124">
        <v>119</v>
      </c>
      <c r="N120" s="63">
        <f t="shared" si="41"/>
        <v>1013056.9700000001</v>
      </c>
      <c r="O120" s="64"/>
      <c r="P120" s="65"/>
      <c r="Q120" s="65"/>
      <c r="R120" s="65">
        <f>+'Приложение №2'!E129</f>
        <v>1013056.9700000001</v>
      </c>
      <c r="S120" s="65">
        <f>+'Приложение №2'!E129-'Приложение №1'!R120</f>
        <v>0</v>
      </c>
      <c r="T120" s="64">
        <f>+'Приложение №2'!E129-'Приложение №1'!P120-'Приложение №1'!Q120-'Приложение №1'!R120-'Приложение №1'!S120</f>
        <v>0</v>
      </c>
      <c r="U120" s="65">
        <f t="shared" si="34"/>
        <v>317.84173752078561</v>
      </c>
      <c r="V120" s="65">
        <f t="shared" si="34"/>
        <v>317.84173752078561</v>
      </c>
      <c r="W120" s="126">
        <v>2022</v>
      </c>
      <c r="X120" s="127" t="e">
        <f>+#REF!-'[1]Приложение №1'!$P700</f>
        <v>#REF!</v>
      </c>
      <c r="Z120" s="63">
        <f t="shared" si="35"/>
        <v>1264729.77</v>
      </c>
      <c r="AA120" s="64">
        <v>0</v>
      </c>
      <c r="AB120" s="64">
        <v>0</v>
      </c>
      <c r="AC120" s="64">
        <v>0</v>
      </c>
      <c r="AD120" s="64">
        <v>0</v>
      </c>
      <c r="AE120" s="64">
        <v>1007223.29</v>
      </c>
      <c r="AF120" s="64"/>
      <c r="AG120" s="64">
        <v>0</v>
      </c>
      <c r="AH120" s="64">
        <v>0</v>
      </c>
      <c r="AI120" s="64">
        <v>0</v>
      </c>
      <c r="AJ120" s="64">
        <v>0</v>
      </c>
      <c r="AK120" s="64">
        <v>0</v>
      </c>
      <c r="AL120" s="64">
        <v>0</v>
      </c>
      <c r="AM120" s="64">
        <v>241672.8</v>
      </c>
      <c r="AN120" s="65">
        <v>10000</v>
      </c>
      <c r="AO120" s="66">
        <v>5833.68</v>
      </c>
      <c r="AP120" s="128">
        <f>+N120-'Приложение №2'!E129</f>
        <v>0</v>
      </c>
      <c r="AQ120" s="23">
        <v>1840438.6</v>
      </c>
      <c r="AR120" s="25">
        <f t="shared" si="42"/>
        <v>394352.39999999997</v>
      </c>
      <c r="AS120" s="25">
        <f t="shared" si="43"/>
        <v>13918320</v>
      </c>
      <c r="AT120" s="127">
        <f t="shared" si="31"/>
        <v>-13918320</v>
      </c>
      <c r="AW120" s="63">
        <f t="shared" si="32"/>
        <v>1013056.9700000001</v>
      </c>
      <c r="AX120" s="64">
        <v>0</v>
      </c>
      <c r="AY120" s="64">
        <v>0</v>
      </c>
      <c r="AZ120" s="64">
        <v>0</v>
      </c>
      <c r="BA120" s="64">
        <v>0</v>
      </c>
      <c r="BB120" s="64">
        <v>1007223.29</v>
      </c>
      <c r="BC120" s="64"/>
      <c r="BD120" s="64"/>
      <c r="BE120" s="64">
        <v>0</v>
      </c>
      <c r="BF120" s="64">
        <v>0</v>
      </c>
      <c r="BG120" s="64">
        <v>0</v>
      </c>
      <c r="BH120" s="64">
        <v>0</v>
      </c>
      <c r="BI120" s="64">
        <v>0</v>
      </c>
      <c r="BJ120" s="64"/>
      <c r="BK120" s="65"/>
      <c r="BL120" s="66">
        <v>5833.68</v>
      </c>
    </row>
    <row r="121" spans="1:64" x14ac:dyDescent="0.25">
      <c r="A121" s="122">
        <f t="shared" si="44"/>
        <v>104</v>
      </c>
      <c r="B121" s="62">
        <f t="shared" si="44"/>
        <v>104</v>
      </c>
      <c r="C121" s="62" t="s">
        <v>52</v>
      </c>
      <c r="D121" s="62" t="s">
        <v>1046</v>
      </c>
      <c r="E121" s="123">
        <v>1995</v>
      </c>
      <c r="F121" s="123">
        <v>2013</v>
      </c>
      <c r="G121" s="123" t="s">
        <v>43</v>
      </c>
      <c r="H121" s="123">
        <v>5</v>
      </c>
      <c r="I121" s="123">
        <v>2</v>
      </c>
      <c r="J121" s="64">
        <v>2325.6999999999998</v>
      </c>
      <c r="K121" s="64">
        <v>1861.6</v>
      </c>
      <c r="L121" s="64">
        <v>0</v>
      </c>
      <c r="M121" s="124">
        <v>45</v>
      </c>
      <c r="N121" s="63">
        <f t="shared" si="41"/>
        <v>12649312.870907839</v>
      </c>
      <c r="O121" s="64"/>
      <c r="P121" s="65">
        <v>3166309.31</v>
      </c>
      <c r="Q121" s="65"/>
      <c r="R121" s="65">
        <v>801099.03</v>
      </c>
      <c r="S121" s="65">
        <f>+AS121</f>
        <v>6701760</v>
      </c>
      <c r="T121" s="64">
        <f>+'Приложение №2'!E130-'Приложение №1'!P121-'Приложение №1'!Q121-'Приложение №1'!R121-'Приложение №1'!S121</f>
        <v>1980144.5309078395</v>
      </c>
      <c r="U121" s="65">
        <f t="shared" si="34"/>
        <v>6794.8608030231198</v>
      </c>
      <c r="V121" s="65">
        <f t="shared" si="34"/>
        <v>6794.8608030231198</v>
      </c>
      <c r="W121" s="126">
        <v>2022</v>
      </c>
      <c r="X121" s="127" t="e">
        <f>+#REF!-'[1]Приложение №1'!$P1100</f>
        <v>#REF!</v>
      </c>
      <c r="Z121" s="63">
        <f t="shared" si="35"/>
        <v>24619973.59</v>
      </c>
      <c r="AA121" s="64">
        <v>4453931.4770332193</v>
      </c>
      <c r="AB121" s="64">
        <v>1587118.89355698</v>
      </c>
      <c r="AC121" s="64">
        <v>1658186.10096636</v>
      </c>
      <c r="AD121" s="64">
        <v>1038129.3440137201</v>
      </c>
      <c r="AE121" s="64">
        <v>0</v>
      </c>
      <c r="AF121" s="64"/>
      <c r="AG121" s="64">
        <v>170909.54989416001</v>
      </c>
      <c r="AH121" s="64">
        <v>0</v>
      </c>
      <c r="AI121" s="64">
        <v>8142464.4194249995</v>
      </c>
      <c r="AJ121" s="64">
        <v>0</v>
      </c>
      <c r="AK121" s="64">
        <v>0</v>
      </c>
      <c r="AL121" s="64">
        <v>4559967.0846529808</v>
      </c>
      <c r="AM121" s="64">
        <v>2290484.5943999998</v>
      </c>
      <c r="AN121" s="65">
        <v>246199.7359</v>
      </c>
      <c r="AO121" s="66">
        <v>472582.39015758003</v>
      </c>
      <c r="AP121" s="128">
        <f>+N121-'Приложение №2'!E130</f>
        <v>0</v>
      </c>
      <c r="AQ121" s="23">
        <v>717879.06</v>
      </c>
      <c r="AR121" s="25">
        <f t="shared" si="42"/>
        <v>189883.19999999998</v>
      </c>
      <c r="AS121" s="25">
        <f t="shared" si="43"/>
        <v>6701760</v>
      </c>
      <c r="AT121" s="127">
        <f t="shared" si="31"/>
        <v>0</v>
      </c>
      <c r="AW121" s="63">
        <f t="shared" si="32"/>
        <v>12649312.870907839</v>
      </c>
      <c r="AX121" s="64">
        <v>3644506.14</v>
      </c>
      <c r="AY121" s="64"/>
      <c r="AZ121" s="64">
        <v>914465.47</v>
      </c>
      <c r="BA121" s="64"/>
      <c r="BB121" s="64">
        <v>0</v>
      </c>
      <c r="BC121" s="64"/>
      <c r="BD121" s="64"/>
      <c r="BE121" s="64">
        <v>0</v>
      </c>
      <c r="BF121" s="64">
        <v>3794408.23</v>
      </c>
      <c r="BG121" s="64">
        <v>0</v>
      </c>
      <c r="BH121" s="64">
        <v>0</v>
      </c>
      <c r="BI121" s="64">
        <v>3615223.51</v>
      </c>
      <c r="BJ121" s="64">
        <v>160007.0122</v>
      </c>
      <c r="BK121" s="65">
        <v>37048.782200000001</v>
      </c>
      <c r="BL121" s="66">
        <v>483653.72650783998</v>
      </c>
    </row>
    <row r="122" spans="1:64" s="74" customFormat="1" x14ac:dyDescent="0.25">
      <c r="A122" s="122">
        <f t="shared" si="44"/>
        <v>105</v>
      </c>
      <c r="B122" s="62">
        <f t="shared" si="44"/>
        <v>105</v>
      </c>
      <c r="C122" s="62" t="s">
        <v>94</v>
      </c>
      <c r="D122" s="62" t="s">
        <v>1047</v>
      </c>
      <c r="E122" s="123" t="s">
        <v>125</v>
      </c>
      <c r="F122" s="123"/>
      <c r="G122" s="123" t="s">
        <v>43</v>
      </c>
      <c r="H122" s="123" t="s">
        <v>105</v>
      </c>
      <c r="I122" s="123" t="s">
        <v>109</v>
      </c>
      <c r="J122" s="64">
        <v>5677.5</v>
      </c>
      <c r="K122" s="64">
        <v>4896.3999999999996</v>
      </c>
      <c r="L122" s="64">
        <v>72</v>
      </c>
      <c r="M122" s="124">
        <v>216</v>
      </c>
      <c r="N122" s="63">
        <f t="shared" si="41"/>
        <v>56109594.188878097</v>
      </c>
      <c r="O122" s="64">
        <v>0</v>
      </c>
      <c r="P122" s="65">
        <f>12974985.21+964259.01</f>
        <v>13939244.220000001</v>
      </c>
      <c r="Q122" s="65">
        <v>0</v>
      </c>
      <c r="R122" s="65">
        <v>2546224.96</v>
      </c>
      <c r="S122" s="65">
        <f>+AS122</f>
        <v>18145440</v>
      </c>
      <c r="T122" s="64">
        <f>+'Приложение №2'!E131-'Приложение №1'!P122-'Приложение №1'!Q122-'Приложение №1'!R122-'Приложение №1'!S122</f>
        <v>21478685.008878097</v>
      </c>
      <c r="U122" s="65">
        <v>224.97</v>
      </c>
      <c r="V122" s="65">
        <v>224.97</v>
      </c>
      <c r="W122" s="126">
        <v>2022</v>
      </c>
      <c r="X122" s="74">
        <v>1825680.39</v>
      </c>
      <c r="Y122" s="74">
        <f>+(K122*9.1+L122*18.19)*12</f>
        <v>550403.04</v>
      </c>
      <c r="AA122" s="129">
        <f>+N122-'[5]Приложение № 2'!E95</f>
        <v>54158448.568878099</v>
      </c>
      <c r="AD122" s="129">
        <f>+N122-'[5]Приложение № 2'!E95</f>
        <v>54158448.568878099</v>
      </c>
      <c r="AP122" s="128">
        <f>+N122-'Приложение №2'!E131</f>
        <v>0</v>
      </c>
      <c r="AQ122" s="74">
        <v>2265420.6</v>
      </c>
      <c r="AR122" s="25">
        <f t="shared" si="42"/>
        <v>514120.8</v>
      </c>
      <c r="AS122" s="25">
        <f t="shared" si="43"/>
        <v>18145440</v>
      </c>
      <c r="AT122" s="127">
        <f t="shared" si="31"/>
        <v>0</v>
      </c>
      <c r="AW122" s="63">
        <f t="shared" si="32"/>
        <v>56109594.188878097</v>
      </c>
      <c r="AX122" s="64"/>
      <c r="AY122" s="64"/>
      <c r="AZ122" s="71"/>
      <c r="BA122" s="64"/>
      <c r="BB122" s="64"/>
      <c r="BC122" s="64"/>
      <c r="BD122" s="64"/>
      <c r="BE122" s="64"/>
      <c r="BF122" s="64">
        <v>14003938.84</v>
      </c>
      <c r="BG122" s="64"/>
      <c r="BH122" s="64">
        <v>32173395.460000001</v>
      </c>
      <c r="BI122" s="64">
        <v>8022917.0300000003</v>
      </c>
      <c r="BJ122" s="64">
        <v>228290.3</v>
      </c>
      <c r="BK122" s="65"/>
      <c r="BL122" s="66">
        <v>1681052.5588781</v>
      </c>
    </row>
    <row r="123" spans="1:64" x14ac:dyDescent="0.25">
      <c r="A123" s="122">
        <f t="shared" si="44"/>
        <v>106</v>
      </c>
      <c r="B123" s="62">
        <f t="shared" si="44"/>
        <v>106</v>
      </c>
      <c r="C123" s="62" t="s">
        <v>52</v>
      </c>
      <c r="D123" s="62" t="s">
        <v>1048</v>
      </c>
      <c r="E123" s="123">
        <v>1986</v>
      </c>
      <c r="F123" s="123">
        <v>2013</v>
      </c>
      <c r="G123" s="123" t="s">
        <v>43</v>
      </c>
      <c r="H123" s="123">
        <v>12</v>
      </c>
      <c r="I123" s="123">
        <v>1</v>
      </c>
      <c r="J123" s="64">
        <v>5358.08</v>
      </c>
      <c r="K123" s="64">
        <v>4351.1000000000004</v>
      </c>
      <c r="L123" s="64">
        <v>75.099999999999994</v>
      </c>
      <c r="M123" s="124">
        <v>175</v>
      </c>
      <c r="N123" s="63">
        <f t="shared" si="41"/>
        <v>28210776.703030359</v>
      </c>
      <c r="O123" s="64"/>
      <c r="P123" s="65">
        <v>8285257.2000000002</v>
      </c>
      <c r="Q123" s="65"/>
      <c r="R123" s="65">
        <f>+AQ123+AR123</f>
        <v>3249810.1642</v>
      </c>
      <c r="S123" s="65">
        <f>+'Приложение №2'!E132-'Приложение №1'!P123-'Приложение №1'!Q123-'Приложение №1'!R123</f>
        <v>16675709.338830359</v>
      </c>
      <c r="T123" s="64">
        <f>+'Приложение №2'!E132-'Приложение №1'!P123-'Приложение №1'!Q123-'Приложение №1'!R123-'Приложение №1'!S123</f>
        <v>0</v>
      </c>
      <c r="U123" s="65">
        <f t="shared" ref="U123:V130" si="45">$N123/($K123+$L123)</f>
        <v>6373.5883383105947</v>
      </c>
      <c r="V123" s="65">
        <f t="shared" si="45"/>
        <v>6373.5883383105947</v>
      </c>
      <c r="W123" s="126">
        <v>2022</v>
      </c>
      <c r="X123" s="127" t="e">
        <f>+#REF!-'[1]Приложение №1'!$P1102</f>
        <v>#REF!</v>
      </c>
      <c r="Z123" s="63">
        <f>SUM(AA123:AO123)</f>
        <v>79559391.959999993</v>
      </c>
      <c r="AA123" s="64">
        <v>8341354.4473349992</v>
      </c>
      <c r="AB123" s="64">
        <v>5553433.1235902393</v>
      </c>
      <c r="AC123" s="64">
        <v>3380551.53059988</v>
      </c>
      <c r="AD123" s="64">
        <v>3049959.7596686399</v>
      </c>
      <c r="AE123" s="64">
        <v>1113740.92605384</v>
      </c>
      <c r="AF123" s="64"/>
      <c r="AG123" s="64">
        <v>465647.12643960002</v>
      </c>
      <c r="AH123" s="64">
        <v>0</v>
      </c>
      <c r="AI123" s="64">
        <v>3947389.3810512</v>
      </c>
      <c r="AJ123" s="64">
        <v>0</v>
      </c>
      <c r="AK123" s="64">
        <v>34269240.723520316</v>
      </c>
      <c r="AL123" s="64">
        <v>9011986.1099326797</v>
      </c>
      <c r="AM123" s="64">
        <v>8118689.5914000003</v>
      </c>
      <c r="AN123" s="65">
        <v>795593.91959999991</v>
      </c>
      <c r="AO123" s="66">
        <v>1511805.3208086002</v>
      </c>
      <c r="AP123" s="128">
        <f>+N123-'Приложение №2'!E132</f>
        <v>0</v>
      </c>
      <c r="AQ123" s="23">
        <v>2642732.98</v>
      </c>
      <c r="AR123" s="25">
        <f>+(K123*13.29+L123*22.52)*12*0.85</f>
        <v>607077.18420000002</v>
      </c>
      <c r="AS123" s="25">
        <f>+(K123*13.29+L123*22.52)*12*30</f>
        <v>21426253.560000002</v>
      </c>
      <c r="AT123" s="127">
        <f t="shared" si="31"/>
        <v>-4750544.2211696431</v>
      </c>
      <c r="AW123" s="63">
        <f t="shared" si="32"/>
        <v>28210776.703030359</v>
      </c>
      <c r="AX123" s="64">
        <v>6509238.7699999996</v>
      </c>
      <c r="AY123" s="64">
        <v>2319400.21</v>
      </c>
      <c r="AZ123" s="64">
        <v>3775889.5</v>
      </c>
      <c r="BA123" s="64">
        <v>1790627.54</v>
      </c>
      <c r="BB123" s="64"/>
      <c r="BC123" s="64"/>
      <c r="BD123" s="64"/>
      <c r="BE123" s="64">
        <v>0</v>
      </c>
      <c r="BF123" s="64">
        <v>4646956.9000000004</v>
      </c>
      <c r="BG123" s="64">
        <v>0</v>
      </c>
      <c r="BH123" s="64">
        <v>5003516.4000000004</v>
      </c>
      <c r="BI123" s="64">
        <v>2513954.87</v>
      </c>
      <c r="BJ123" s="64"/>
      <c r="BK123" s="65"/>
      <c r="BL123" s="66">
        <v>1651192.5130303577</v>
      </c>
    </row>
    <row r="124" spans="1:64" x14ac:dyDescent="0.25">
      <c r="A124" s="122">
        <f t="shared" si="44"/>
        <v>107</v>
      </c>
      <c r="B124" s="62">
        <f t="shared" si="44"/>
        <v>107</v>
      </c>
      <c r="C124" s="62" t="s">
        <v>52</v>
      </c>
      <c r="D124" s="62" t="s">
        <v>123</v>
      </c>
      <c r="E124" s="123">
        <v>1974</v>
      </c>
      <c r="F124" s="123">
        <v>2013</v>
      </c>
      <c r="G124" s="123" t="s">
        <v>43</v>
      </c>
      <c r="H124" s="123">
        <v>4</v>
      </c>
      <c r="I124" s="123">
        <v>6</v>
      </c>
      <c r="J124" s="64">
        <v>5678.2</v>
      </c>
      <c r="K124" s="64">
        <v>4923.8</v>
      </c>
      <c r="L124" s="64">
        <v>69.900000000000006</v>
      </c>
      <c r="M124" s="124">
        <v>205</v>
      </c>
      <c r="N124" s="63">
        <f t="shared" si="41"/>
        <v>8373368.8852534005</v>
      </c>
      <c r="O124" s="64"/>
      <c r="P124" s="65"/>
      <c r="Q124" s="65"/>
      <c r="R124" s="65">
        <v>2055008.88</v>
      </c>
      <c r="S124" s="65">
        <f>+'Приложение №2'!E133-'Приложение №1'!P124-'Приложение №1'!Q124-'Приложение №1'!R124</f>
        <v>6318360.0052534007</v>
      </c>
      <c r="T124" s="64">
        <f>+'Приложение №2'!E133-'Приложение №1'!P124-'Приложение №1'!Q124-'Приложение №1'!R124-'Приложение №1'!S124</f>
        <v>0</v>
      </c>
      <c r="U124" s="65">
        <f t="shared" si="45"/>
        <v>1676.7865280760559</v>
      </c>
      <c r="V124" s="65">
        <f t="shared" si="45"/>
        <v>1676.7865280760559</v>
      </c>
      <c r="W124" s="126">
        <v>2022</v>
      </c>
      <c r="X124" s="127" t="e">
        <f>+#REF!-'[1]Приложение №1'!$P1492</f>
        <v>#REF!</v>
      </c>
      <c r="Z124" s="63">
        <f>SUM(AA124:AO124)</f>
        <v>16666252.090000002</v>
      </c>
      <c r="AA124" s="64">
        <v>0</v>
      </c>
      <c r="AB124" s="64">
        <v>0</v>
      </c>
      <c r="AC124" s="64">
        <v>0</v>
      </c>
      <c r="AD124" s="64">
        <v>0</v>
      </c>
      <c r="AE124" s="64">
        <v>0</v>
      </c>
      <c r="AF124" s="64"/>
      <c r="AG124" s="64">
        <v>0</v>
      </c>
      <c r="AH124" s="64">
        <v>0</v>
      </c>
      <c r="AI124" s="64">
        <v>14678634.865746601</v>
      </c>
      <c r="AJ124" s="64">
        <v>0</v>
      </c>
      <c r="AK124" s="64">
        <v>0</v>
      </c>
      <c r="AL124" s="64">
        <v>0</v>
      </c>
      <c r="AM124" s="64">
        <v>1499962.6880999999</v>
      </c>
      <c r="AN124" s="65">
        <v>166662.5209</v>
      </c>
      <c r="AO124" s="66">
        <v>320992.01525340008</v>
      </c>
      <c r="AP124" s="128">
        <f>+N124-'Приложение №2'!E133</f>
        <v>0</v>
      </c>
      <c r="AQ124" s="23">
        <v>2280888.52</v>
      </c>
      <c r="AR124" s="25">
        <f>+(K124*10+L124*20)*12*0.85</f>
        <v>516487.2</v>
      </c>
      <c r="AS124" s="25">
        <f>+(K124*10+L124*20)*12*30</f>
        <v>18228960</v>
      </c>
      <c r="AT124" s="127">
        <f t="shared" si="31"/>
        <v>-11910599.994746599</v>
      </c>
      <c r="AW124" s="63">
        <f t="shared" si="32"/>
        <v>8373368.8852534005</v>
      </c>
      <c r="AX124" s="64">
        <v>0</v>
      </c>
      <c r="AY124" s="64">
        <v>0</v>
      </c>
      <c r="AZ124" s="64">
        <v>0</v>
      </c>
      <c r="BA124" s="64">
        <v>0</v>
      </c>
      <c r="BB124" s="64">
        <v>0</v>
      </c>
      <c r="BC124" s="64"/>
      <c r="BD124" s="64"/>
      <c r="BE124" s="64">
        <v>0</v>
      </c>
      <c r="BF124" s="64">
        <v>6528558.9900000002</v>
      </c>
      <c r="BG124" s="64">
        <v>0</v>
      </c>
      <c r="BH124" s="64">
        <v>0</v>
      </c>
      <c r="BI124" s="64">
        <v>0</v>
      </c>
      <c r="BJ124" s="64">
        <v>1523817.8800000001</v>
      </c>
      <c r="BK124" s="65"/>
      <c r="BL124" s="66">
        <v>320992.01525340008</v>
      </c>
    </row>
    <row r="125" spans="1:64" x14ac:dyDescent="0.25">
      <c r="A125" s="122">
        <f t="shared" si="44"/>
        <v>108</v>
      </c>
      <c r="B125" s="62">
        <f t="shared" si="44"/>
        <v>108</v>
      </c>
      <c r="C125" s="62" t="s">
        <v>52</v>
      </c>
      <c r="D125" s="62" t="s">
        <v>1049</v>
      </c>
      <c r="E125" s="123">
        <v>1974</v>
      </c>
      <c r="F125" s="123">
        <v>2013</v>
      </c>
      <c r="G125" s="123" t="s">
        <v>43</v>
      </c>
      <c r="H125" s="123">
        <v>4</v>
      </c>
      <c r="I125" s="123">
        <v>6</v>
      </c>
      <c r="J125" s="64">
        <v>5563.5</v>
      </c>
      <c r="K125" s="64">
        <v>4878.8999999999996</v>
      </c>
      <c r="L125" s="64">
        <v>141.30000000000001</v>
      </c>
      <c r="M125" s="124">
        <v>202</v>
      </c>
      <c r="N125" s="63">
        <f t="shared" si="41"/>
        <v>8125441.1614079997</v>
      </c>
      <c r="O125" s="64"/>
      <c r="P125" s="72"/>
      <c r="Q125" s="65"/>
      <c r="R125" s="65">
        <v>2007826.6</v>
      </c>
      <c r="S125" s="65">
        <f>+'Приложение №2'!E134-'Приложение №1'!P125-'Приложение №1'!Q125-'Приложение №1'!R125</f>
        <v>6117614.5614080001</v>
      </c>
      <c r="T125" s="64">
        <f>+'Приложение №2'!E134-'Приложение №1'!P125-'Приложение №1'!Q125-'Приложение №1'!R125-'Приложение №1'!S125</f>
        <v>0</v>
      </c>
      <c r="U125" s="65">
        <f t="shared" si="45"/>
        <v>1618.5492931373251</v>
      </c>
      <c r="V125" s="65">
        <f t="shared" si="45"/>
        <v>1618.5492931373251</v>
      </c>
      <c r="W125" s="126">
        <v>2022</v>
      </c>
      <c r="X125" s="127" t="e">
        <f>+#REF!-'[1]Приложение №1'!$P1493</f>
        <v>#REF!</v>
      </c>
      <c r="Z125" s="63">
        <f>SUM(AA125:AO125)</f>
        <v>16283600.800000001</v>
      </c>
      <c r="AA125" s="64">
        <v>0</v>
      </c>
      <c r="AB125" s="64">
        <v>0</v>
      </c>
      <c r="AC125" s="64">
        <v>0</v>
      </c>
      <c r="AD125" s="64">
        <v>0</v>
      </c>
      <c r="AE125" s="64">
        <v>0</v>
      </c>
      <c r="AF125" s="64"/>
      <c r="AG125" s="64">
        <v>0</v>
      </c>
      <c r="AH125" s="64">
        <v>0</v>
      </c>
      <c r="AI125" s="64">
        <v>14341618.568592001</v>
      </c>
      <c r="AJ125" s="64">
        <v>0</v>
      </c>
      <c r="AK125" s="64">
        <v>0</v>
      </c>
      <c r="AL125" s="64">
        <v>0</v>
      </c>
      <c r="AM125" s="64">
        <v>1465524.0719999999</v>
      </c>
      <c r="AN125" s="65">
        <v>162836.008</v>
      </c>
      <c r="AO125" s="66">
        <v>313622.15140800003</v>
      </c>
      <c r="AP125" s="128">
        <f>+N125-'Приложение №2'!E134</f>
        <v>0</v>
      </c>
      <c r="AQ125" s="23">
        <v>2384583.81</v>
      </c>
      <c r="AR125" s="25">
        <f>+(K125*10+L125*20)*12*0.85</f>
        <v>526473</v>
      </c>
      <c r="AS125" s="25">
        <f>+(K125*10+L125*20)*12*30</f>
        <v>18581400</v>
      </c>
      <c r="AT125" s="127">
        <f t="shared" si="31"/>
        <v>-12463785.438592</v>
      </c>
      <c r="AW125" s="63">
        <f t="shared" si="32"/>
        <v>8125441.1614079997</v>
      </c>
      <c r="AX125" s="64">
        <v>0</v>
      </c>
      <c r="AY125" s="64">
        <v>0</v>
      </c>
      <c r="AZ125" s="64">
        <v>0</v>
      </c>
      <c r="BA125" s="64">
        <v>0</v>
      </c>
      <c r="BB125" s="64">
        <v>0</v>
      </c>
      <c r="BC125" s="64"/>
      <c r="BD125" s="64"/>
      <c r="BE125" s="64">
        <v>0</v>
      </c>
      <c r="BF125" s="64">
        <v>6264359.7599999998</v>
      </c>
      <c r="BG125" s="64">
        <v>0</v>
      </c>
      <c r="BH125" s="64">
        <v>0</v>
      </c>
      <c r="BI125" s="64">
        <v>0</v>
      </c>
      <c r="BJ125" s="64">
        <v>1547459.25</v>
      </c>
      <c r="BK125" s="65"/>
      <c r="BL125" s="66">
        <v>313622.15140800003</v>
      </c>
    </row>
    <row r="126" spans="1:64" x14ac:dyDescent="0.25">
      <c r="A126" s="122">
        <f t="shared" si="44"/>
        <v>109</v>
      </c>
      <c r="B126" s="62">
        <f t="shared" si="44"/>
        <v>109</v>
      </c>
      <c r="C126" s="62" t="s">
        <v>52</v>
      </c>
      <c r="D126" s="62" t="s">
        <v>703</v>
      </c>
      <c r="E126" s="123">
        <v>1968</v>
      </c>
      <c r="F126" s="123">
        <v>2013</v>
      </c>
      <c r="G126" s="123" t="s">
        <v>43</v>
      </c>
      <c r="H126" s="123">
        <v>4</v>
      </c>
      <c r="I126" s="123">
        <v>4</v>
      </c>
      <c r="J126" s="64">
        <v>1991.8</v>
      </c>
      <c r="K126" s="64">
        <v>1480.5</v>
      </c>
      <c r="L126" s="64">
        <v>509.2</v>
      </c>
      <c r="M126" s="124">
        <v>80</v>
      </c>
      <c r="N126" s="63">
        <f t="shared" si="41"/>
        <v>435458</v>
      </c>
      <c r="O126" s="64"/>
      <c r="P126" s="65">
        <v>185262.05</v>
      </c>
      <c r="Q126" s="65"/>
      <c r="R126" s="65">
        <v>250195.95</v>
      </c>
      <c r="S126" s="65"/>
      <c r="T126" s="64">
        <f>+'Приложение №2'!E135-'Приложение №1'!P126-'Приложение №1'!Q126-'Приложение №1'!R126-'Приложение №1'!S126</f>
        <v>0</v>
      </c>
      <c r="U126" s="65">
        <f t="shared" si="45"/>
        <v>218.85610896114991</v>
      </c>
      <c r="V126" s="65">
        <f t="shared" si="45"/>
        <v>218.85610896114991</v>
      </c>
      <c r="W126" s="126">
        <v>2022</v>
      </c>
      <c r="X126" s="127" t="e">
        <f>+#REF!-'[1]Приложение №1'!$P716</f>
        <v>#REF!</v>
      </c>
      <c r="Z126" s="63">
        <f>SUM(AA126:AO126)</f>
        <v>670440.25</v>
      </c>
      <c r="AA126" s="64">
        <v>0</v>
      </c>
      <c r="AB126" s="64">
        <v>0</v>
      </c>
      <c r="AC126" s="64">
        <v>0</v>
      </c>
      <c r="AD126" s="64">
        <v>0</v>
      </c>
      <c r="AE126" s="64">
        <v>475262.77</v>
      </c>
      <c r="AF126" s="64"/>
      <c r="AG126" s="64">
        <v>0</v>
      </c>
      <c r="AH126" s="64">
        <v>0</v>
      </c>
      <c r="AI126" s="64">
        <v>0</v>
      </c>
      <c r="AJ126" s="64">
        <v>0</v>
      </c>
      <c r="AK126" s="64">
        <v>0</v>
      </c>
      <c r="AL126" s="64">
        <v>0</v>
      </c>
      <c r="AM126" s="64">
        <v>178933.79</v>
      </c>
      <c r="AN126" s="65">
        <v>10000</v>
      </c>
      <c r="AO126" s="66">
        <v>6243.69</v>
      </c>
      <c r="AP126" s="128">
        <f>+N126-'Приложение №2'!E135</f>
        <v>0</v>
      </c>
      <c r="AQ126" s="23">
        <v>1179424.97</v>
      </c>
      <c r="AR126" s="25">
        <f>+(K126*10+L126*20)*12*0.85</f>
        <v>254887.8</v>
      </c>
      <c r="AS126" s="25">
        <f>+(K126*10+L126*20)*12*30</f>
        <v>8996040</v>
      </c>
      <c r="AT126" s="127">
        <f t="shared" si="31"/>
        <v>-8996040</v>
      </c>
      <c r="AW126" s="63">
        <f t="shared" si="32"/>
        <v>435458</v>
      </c>
      <c r="AX126" s="64">
        <v>0</v>
      </c>
      <c r="AY126" s="64">
        <v>0</v>
      </c>
      <c r="AZ126" s="64">
        <v>0</v>
      </c>
      <c r="BA126" s="64">
        <v>0</v>
      </c>
      <c r="BB126" s="64">
        <v>435458</v>
      </c>
      <c r="BC126" s="64"/>
      <c r="BD126" s="64"/>
      <c r="BE126" s="64">
        <v>0</v>
      </c>
      <c r="BF126" s="64">
        <v>0</v>
      </c>
      <c r="BG126" s="64">
        <v>0</v>
      </c>
      <c r="BH126" s="64">
        <v>0</v>
      </c>
      <c r="BI126" s="64">
        <v>0</v>
      </c>
      <c r="BJ126" s="64"/>
      <c r="BK126" s="65"/>
      <c r="BL126" s="66"/>
    </row>
    <row r="127" spans="1:64" s="74" customFormat="1" x14ac:dyDescent="0.25">
      <c r="A127" s="122">
        <f t="shared" si="44"/>
        <v>110</v>
      </c>
      <c r="B127" s="62">
        <f t="shared" si="44"/>
        <v>110</v>
      </c>
      <c r="C127" s="62" t="s">
        <v>52</v>
      </c>
      <c r="D127" s="62" t="s">
        <v>704</v>
      </c>
      <c r="E127" s="123">
        <v>1973</v>
      </c>
      <c r="F127" s="123"/>
      <c r="G127" s="123" t="s">
        <v>43</v>
      </c>
      <c r="H127" s="123">
        <v>4</v>
      </c>
      <c r="I127" s="123">
        <v>4</v>
      </c>
      <c r="J127" s="64">
        <v>2965.1</v>
      </c>
      <c r="K127" s="64">
        <v>2671.7</v>
      </c>
      <c r="L127" s="64">
        <v>61.9</v>
      </c>
      <c r="M127" s="124">
        <v>112</v>
      </c>
      <c r="N127" s="63">
        <f>+P127+Q127+R127+S127+T127</f>
        <v>1097504.5</v>
      </c>
      <c r="O127" s="64"/>
      <c r="P127" s="65"/>
      <c r="Q127" s="65"/>
      <c r="R127" s="65">
        <f>+'Приложение №2'!E136</f>
        <v>1097504.5</v>
      </c>
      <c r="S127" s="65"/>
      <c r="T127" s="64">
        <f>+'Приложение №2'!E136-'Приложение №1'!P127-'Приложение №1'!Q127-'Приложение №1'!R127-'Приложение №1'!S127</f>
        <v>0</v>
      </c>
      <c r="U127" s="65">
        <f t="shared" si="45"/>
        <v>401.48686713491367</v>
      </c>
      <c r="V127" s="65">
        <f t="shared" si="45"/>
        <v>401.48686713491367</v>
      </c>
      <c r="W127" s="126">
        <v>2022</v>
      </c>
      <c r="AA127" s="129"/>
      <c r="AD127" s="129"/>
      <c r="AP127" s="128">
        <f>+N127-'Приложение №2'!E136</f>
        <v>0</v>
      </c>
      <c r="AQ127" s="67">
        <v>1534449.43</v>
      </c>
      <c r="AR127" s="25">
        <f>+(K127*10+L127*20)*12*0.85</f>
        <v>285141</v>
      </c>
      <c r="AS127" s="25">
        <f>+(K127*10+L127*20)*12*30</f>
        <v>10063800</v>
      </c>
      <c r="AT127" s="127">
        <f t="shared" si="31"/>
        <v>-10063800</v>
      </c>
      <c r="AW127" s="63">
        <f t="shared" si="32"/>
        <v>1097504.5</v>
      </c>
      <c r="AX127" s="64">
        <v>0</v>
      </c>
      <c r="AY127" s="64"/>
      <c r="AZ127" s="64">
        <v>0</v>
      </c>
      <c r="BA127" s="71"/>
      <c r="BB127" s="64">
        <v>1097504.5</v>
      </c>
      <c r="BC127" s="64"/>
      <c r="BD127" s="64"/>
      <c r="BE127" s="64">
        <v>0</v>
      </c>
      <c r="BF127" s="64">
        <v>0</v>
      </c>
      <c r="BG127" s="64">
        <v>0</v>
      </c>
      <c r="BH127" s="64">
        <v>0</v>
      </c>
      <c r="BI127" s="64">
        <v>0</v>
      </c>
      <c r="BJ127" s="64"/>
      <c r="BK127" s="64"/>
      <c r="BL127" s="66"/>
    </row>
    <row r="128" spans="1:64" x14ac:dyDescent="0.25">
      <c r="A128" s="122">
        <f t="shared" si="44"/>
        <v>111</v>
      </c>
      <c r="B128" s="62">
        <f t="shared" si="44"/>
        <v>111</v>
      </c>
      <c r="C128" s="62" t="s">
        <v>52</v>
      </c>
      <c r="D128" s="62" t="s">
        <v>705</v>
      </c>
      <c r="E128" s="123">
        <v>1977</v>
      </c>
      <c r="F128" s="123">
        <v>2013</v>
      </c>
      <c r="G128" s="123" t="s">
        <v>43</v>
      </c>
      <c r="H128" s="123">
        <v>9</v>
      </c>
      <c r="I128" s="123">
        <v>1</v>
      </c>
      <c r="J128" s="64">
        <v>2365.9899999999998</v>
      </c>
      <c r="K128" s="64">
        <v>1903.5</v>
      </c>
      <c r="L128" s="64">
        <v>136</v>
      </c>
      <c r="M128" s="124">
        <v>70</v>
      </c>
      <c r="N128" s="63">
        <f t="shared" si="41"/>
        <v>678959.93939557998</v>
      </c>
      <c r="O128" s="64"/>
      <c r="P128" s="65"/>
      <c r="Q128" s="65"/>
      <c r="R128" s="65">
        <v>178776.52939558003</v>
      </c>
      <c r="S128" s="65">
        <f>+'Приложение №2'!E137-'Приложение №1'!P128-'Приложение №1'!Q128-'Приложение №1'!R128</f>
        <v>500183.40999999992</v>
      </c>
      <c r="T128" s="64">
        <f>+'Приложение №2'!E137-'Приложение №1'!P128-'Приложение №1'!Q128-'Приложение №1'!R128-'Приложение №1'!S128</f>
        <v>0</v>
      </c>
      <c r="U128" s="65">
        <f t="shared" si="45"/>
        <v>332.90509408952192</v>
      </c>
      <c r="V128" s="65">
        <f t="shared" si="45"/>
        <v>332.90509408952192</v>
      </c>
      <c r="W128" s="126">
        <v>2022</v>
      </c>
      <c r="X128" s="127" t="e">
        <f>+#REF!-'[1]Приложение №1'!$P721</f>
        <v>#REF!</v>
      </c>
      <c r="Z128" s="63">
        <f t="shared" ref="Z128:Z154" si="46">SUM(AA128:AO128)</f>
        <v>26854433.359999996</v>
      </c>
      <c r="AA128" s="64">
        <v>3681294.5645548799</v>
      </c>
      <c r="AB128" s="64">
        <v>2450899.70770344</v>
      </c>
      <c r="AC128" s="64">
        <v>0</v>
      </c>
      <c r="AD128" s="64">
        <v>1346040.4200070801</v>
      </c>
      <c r="AE128" s="64">
        <v>491527.90003842005</v>
      </c>
      <c r="AF128" s="64"/>
      <c r="AG128" s="64">
        <v>205504.30800059999</v>
      </c>
      <c r="AH128" s="64">
        <v>0</v>
      </c>
      <c r="AI128" s="64">
        <v>0</v>
      </c>
      <c r="AJ128" s="64">
        <v>0</v>
      </c>
      <c r="AK128" s="64">
        <v>15124062.916324738</v>
      </c>
      <c r="AL128" s="64">
        <v>0</v>
      </c>
      <c r="AM128" s="64">
        <v>2777050.0558000002</v>
      </c>
      <c r="AN128" s="65">
        <v>268544.33360000001</v>
      </c>
      <c r="AO128" s="66">
        <v>509509.15397084004</v>
      </c>
      <c r="AP128" s="128">
        <f>+N128-'Приложение №2'!E137</f>
        <v>0</v>
      </c>
      <c r="AQ128" s="23">
        <f>1333569.91-680973.2372-75663.69</f>
        <v>576932.98279999988</v>
      </c>
      <c r="AR128" s="25">
        <f>+(K128*13.29+L128*22.52)*12*0.85</f>
        <v>289274.397</v>
      </c>
      <c r="AS128" s="25">
        <f>+(K128*13.29+L128*22.52)*12*30-6485.14-39928.49</f>
        <v>10163270.969999999</v>
      </c>
      <c r="AT128" s="127">
        <f t="shared" si="31"/>
        <v>-9663087.5599999987</v>
      </c>
      <c r="AW128" s="63">
        <f t="shared" si="32"/>
        <v>678959.93939557998</v>
      </c>
      <c r="AX128" s="64"/>
      <c r="AY128" s="64"/>
      <c r="AZ128" s="64"/>
      <c r="BA128" s="64"/>
      <c r="BB128" s="64">
        <v>500183.41</v>
      </c>
      <c r="BC128" s="64"/>
      <c r="BD128" s="64"/>
      <c r="BE128" s="64">
        <v>0</v>
      </c>
      <c r="BF128" s="64">
        <v>0</v>
      </c>
      <c r="BG128" s="64">
        <v>0</v>
      </c>
      <c r="BH128" s="64"/>
      <c r="BI128" s="64">
        <v>0</v>
      </c>
      <c r="BJ128" s="64"/>
      <c r="BK128" s="65"/>
      <c r="BL128" s="66">
        <v>178776.52939558003</v>
      </c>
    </row>
    <row r="129" spans="1:64" x14ac:dyDescent="0.25">
      <c r="A129" s="122">
        <f t="shared" si="44"/>
        <v>112</v>
      </c>
      <c r="B129" s="62">
        <f t="shared" si="44"/>
        <v>112</v>
      </c>
      <c r="C129" s="62" t="s">
        <v>52</v>
      </c>
      <c r="D129" s="62" t="s">
        <v>706</v>
      </c>
      <c r="E129" s="123">
        <v>1964</v>
      </c>
      <c r="F129" s="123">
        <v>2016</v>
      </c>
      <c r="G129" s="123" t="s">
        <v>43</v>
      </c>
      <c r="H129" s="123">
        <v>4</v>
      </c>
      <c r="I129" s="123">
        <v>4</v>
      </c>
      <c r="J129" s="64">
        <v>2622.1</v>
      </c>
      <c r="K129" s="64">
        <v>2204.5</v>
      </c>
      <c r="L129" s="64">
        <v>225.2</v>
      </c>
      <c r="M129" s="124">
        <v>107</v>
      </c>
      <c r="N129" s="63">
        <f t="shared" si="41"/>
        <v>994811.65</v>
      </c>
      <c r="O129" s="64"/>
      <c r="P129" s="65">
        <v>613613.93000000005</v>
      </c>
      <c r="Q129" s="65"/>
      <c r="R129" s="65">
        <v>381197.72</v>
      </c>
      <c r="S129" s="65">
        <f>+'Приложение №2'!E138-'Приложение №1'!P129-'Приложение №1'!R129</f>
        <v>0</v>
      </c>
      <c r="T129" s="64">
        <f>+'Приложение №2'!E138-'Приложение №1'!P129-'Приложение №1'!Q129-'Приложение №1'!R129-'Приложение №1'!S129</f>
        <v>0</v>
      </c>
      <c r="U129" s="65">
        <f t="shared" si="45"/>
        <v>409.4380581964852</v>
      </c>
      <c r="V129" s="65">
        <f t="shared" si="45"/>
        <v>409.4380581964852</v>
      </c>
      <c r="W129" s="126">
        <v>2022</v>
      </c>
      <c r="X129" s="127" t="e">
        <f>+#REF!-'[1]Приложение №1'!$P723</f>
        <v>#REF!</v>
      </c>
      <c r="Z129" s="63">
        <f t="shared" si="46"/>
        <v>1186752.2</v>
      </c>
      <c r="AA129" s="64">
        <v>0</v>
      </c>
      <c r="AB129" s="64">
        <v>0</v>
      </c>
      <c r="AC129" s="64">
        <v>0</v>
      </c>
      <c r="AD129" s="64">
        <v>0</v>
      </c>
      <c r="AE129" s="64">
        <v>994811.73</v>
      </c>
      <c r="AF129" s="64"/>
      <c r="AG129" s="64">
        <v>0</v>
      </c>
      <c r="AH129" s="64">
        <v>0</v>
      </c>
      <c r="AI129" s="64">
        <v>0</v>
      </c>
      <c r="AJ129" s="64">
        <v>0</v>
      </c>
      <c r="AK129" s="64">
        <v>0</v>
      </c>
      <c r="AL129" s="64">
        <v>0</v>
      </c>
      <c r="AM129" s="64">
        <v>176245.47</v>
      </c>
      <c r="AN129" s="65">
        <v>10000</v>
      </c>
      <c r="AO129" s="66">
        <v>5695</v>
      </c>
      <c r="AP129" s="128">
        <f>+N129-'Приложение №2'!E138</f>
        <v>0</v>
      </c>
      <c r="AQ129" s="23">
        <v>1171903.8500000001</v>
      </c>
      <c r="AR129" s="25">
        <f>+(K129*10+L129*20)*12*0.85</f>
        <v>270799.8</v>
      </c>
      <c r="AS129" s="25">
        <f>+(K129*10+L129*20)*12*30</f>
        <v>9557640</v>
      </c>
      <c r="AT129" s="127">
        <f t="shared" si="31"/>
        <v>-9557640</v>
      </c>
      <c r="AW129" s="63">
        <f t="shared" si="32"/>
        <v>994811.65</v>
      </c>
      <c r="AX129" s="64">
        <v>0</v>
      </c>
      <c r="AY129" s="64">
        <v>0</v>
      </c>
      <c r="AZ129" s="64">
        <v>0</v>
      </c>
      <c r="BA129" s="64">
        <v>0</v>
      </c>
      <c r="BB129" s="64">
        <v>994811.65</v>
      </c>
      <c r="BC129" s="64"/>
      <c r="BD129" s="64"/>
      <c r="BE129" s="64">
        <v>0</v>
      </c>
      <c r="BF129" s="64">
        <v>0</v>
      </c>
      <c r="BG129" s="64">
        <v>0</v>
      </c>
      <c r="BH129" s="64">
        <v>0</v>
      </c>
      <c r="BI129" s="64">
        <v>0</v>
      </c>
      <c r="BJ129" s="64"/>
      <c r="BK129" s="65"/>
      <c r="BL129" s="66"/>
    </row>
    <row r="130" spans="1:64" x14ac:dyDescent="0.25">
      <c r="A130" s="122">
        <f t="shared" si="44"/>
        <v>113</v>
      </c>
      <c r="B130" s="62">
        <f t="shared" si="44"/>
        <v>113</v>
      </c>
      <c r="C130" s="62" t="s">
        <v>52</v>
      </c>
      <c r="D130" s="62" t="s">
        <v>1050</v>
      </c>
      <c r="E130" s="123">
        <v>1973</v>
      </c>
      <c r="F130" s="123">
        <v>2013</v>
      </c>
      <c r="G130" s="123" t="s">
        <v>43</v>
      </c>
      <c r="H130" s="123">
        <v>5</v>
      </c>
      <c r="I130" s="123">
        <v>8</v>
      </c>
      <c r="J130" s="64">
        <v>6624.9</v>
      </c>
      <c r="K130" s="64">
        <v>5826</v>
      </c>
      <c r="L130" s="64">
        <v>239.3</v>
      </c>
      <c r="M130" s="124">
        <v>272</v>
      </c>
      <c r="N130" s="63">
        <f t="shared" si="41"/>
        <v>2196546.3422400001</v>
      </c>
      <c r="O130" s="64"/>
      <c r="P130" s="65"/>
      <c r="Q130" s="65"/>
      <c r="R130" s="65">
        <f>+'Приложение №2'!E139</f>
        <v>2196546.3422400001</v>
      </c>
      <c r="S130" s="65">
        <f>+'Приложение №2'!E139-'Приложение №1'!R130</f>
        <v>0</v>
      </c>
      <c r="T130" s="64">
        <f>+'Приложение №2'!E139-'Приложение №1'!P130-'Приложение №1'!Q130-'Приложение №1'!R130-'Приложение №1'!S130</f>
        <v>0</v>
      </c>
      <c r="U130" s="65">
        <f t="shared" si="45"/>
        <v>362.14966155672431</v>
      </c>
      <c r="V130" s="65">
        <f t="shared" si="45"/>
        <v>362.14966155672431</v>
      </c>
      <c r="W130" s="126">
        <v>2022</v>
      </c>
      <c r="X130" s="127" t="e">
        <f>+#REF!-'[1]Приложение №1'!$P433</f>
        <v>#REF!</v>
      </c>
      <c r="Z130" s="63">
        <f t="shared" si="46"/>
        <v>68280809.790000007</v>
      </c>
      <c r="AA130" s="64">
        <v>14487752.111381641</v>
      </c>
      <c r="AB130" s="64">
        <v>5162581.6814224795</v>
      </c>
      <c r="AC130" s="64">
        <v>5393749.1598622799</v>
      </c>
      <c r="AD130" s="64">
        <v>3376828.00437696</v>
      </c>
      <c r="AE130" s="64">
        <v>2066066.6377251605</v>
      </c>
      <c r="AF130" s="64"/>
      <c r="AG130" s="64">
        <v>0</v>
      </c>
      <c r="AH130" s="64">
        <v>0</v>
      </c>
      <c r="AI130" s="64">
        <v>0</v>
      </c>
      <c r="AJ130" s="64">
        <v>0</v>
      </c>
      <c r="AK130" s="64">
        <v>13751557.888197359</v>
      </c>
      <c r="AL130" s="64">
        <v>14832664.840462981</v>
      </c>
      <c r="AM130" s="64">
        <v>7235033.8570000008</v>
      </c>
      <c r="AN130" s="65">
        <v>682808.09790000005</v>
      </c>
      <c r="AO130" s="66">
        <v>1291767.5116711401</v>
      </c>
      <c r="AP130" s="128">
        <f>+N130-'Приложение №2'!E139</f>
        <v>0</v>
      </c>
      <c r="AQ130" s="23">
        <f>3058321.2-217412.18</f>
        <v>2840909.02</v>
      </c>
      <c r="AR130" s="25">
        <f>+(K130*10+L130*20)*12*0.85</f>
        <v>643069.19999999995</v>
      </c>
      <c r="AS130" s="25">
        <f>+(K130*10+L130*20)*12*30-1066942.82</f>
        <v>21629617.18</v>
      </c>
      <c r="AT130" s="127">
        <f t="shared" si="31"/>
        <v>-21629617.18</v>
      </c>
      <c r="AW130" s="63">
        <f t="shared" si="32"/>
        <v>2196546.3422400001</v>
      </c>
      <c r="AX130" s="64"/>
      <c r="AY130" s="64"/>
      <c r="AZ130" s="64"/>
      <c r="BA130" s="64"/>
      <c r="BB130" s="64">
        <v>2104784.6800000002</v>
      </c>
      <c r="BC130" s="64"/>
      <c r="BD130" s="64"/>
      <c r="BE130" s="64">
        <v>0</v>
      </c>
      <c r="BF130" s="64">
        <v>0</v>
      </c>
      <c r="BG130" s="64"/>
      <c r="BH130" s="64"/>
      <c r="BI130" s="64"/>
      <c r="BJ130" s="64">
        <v>2857.14</v>
      </c>
      <c r="BK130" s="65">
        <v>24000</v>
      </c>
      <c r="BL130" s="66">
        <v>64904.522240000006</v>
      </c>
    </row>
    <row r="131" spans="1:64" x14ac:dyDescent="0.25">
      <c r="A131" s="122">
        <f t="shared" ref="A131:B146" si="47">+A130+1</f>
        <v>114</v>
      </c>
      <c r="B131" s="62">
        <f t="shared" si="47"/>
        <v>114</v>
      </c>
      <c r="C131" s="62" t="s">
        <v>52</v>
      </c>
      <c r="D131" s="62" t="s">
        <v>1051</v>
      </c>
      <c r="E131" s="123">
        <v>1975</v>
      </c>
      <c r="F131" s="123">
        <v>2013</v>
      </c>
      <c r="G131" s="123" t="s">
        <v>43</v>
      </c>
      <c r="H131" s="123">
        <v>4</v>
      </c>
      <c r="I131" s="123">
        <v>6</v>
      </c>
      <c r="J131" s="64">
        <v>5531.3</v>
      </c>
      <c r="K131" s="64">
        <v>4842.7</v>
      </c>
      <c r="L131" s="64">
        <v>189.7</v>
      </c>
      <c r="M131" s="124">
        <v>224</v>
      </c>
      <c r="N131" s="63">
        <f t="shared" si="41"/>
        <v>22252018.226828001</v>
      </c>
      <c r="O131" s="64"/>
      <c r="P131" s="65"/>
      <c r="Q131" s="65"/>
      <c r="R131" s="65">
        <f>+AQ131+AR131</f>
        <v>2307202.7000000002</v>
      </c>
      <c r="S131" s="65">
        <f>+AS131</f>
        <v>14401951.729840001</v>
      </c>
      <c r="T131" s="65">
        <f>+'Приложение №2'!E140-'Приложение №1'!P131-'Приложение №1'!R131-'Приложение №1'!S131</f>
        <v>5542863.7969879974</v>
      </c>
      <c r="U131" s="65">
        <f>N131/K131</f>
        <v>4594.961122272287</v>
      </c>
      <c r="V131" s="65">
        <v>1339.2830200640001</v>
      </c>
      <c r="W131" s="126">
        <v>2022</v>
      </c>
      <c r="X131" s="127" t="e">
        <f>+#REF!-'[1]Приложение №1'!$P1452</f>
        <v>#REF!</v>
      </c>
      <c r="Z131" s="63">
        <f t="shared" si="46"/>
        <v>87511152.000000015</v>
      </c>
      <c r="AA131" s="64">
        <v>8013494.3878080007</v>
      </c>
      <c r="AB131" s="64">
        <v>4634422.8779520001</v>
      </c>
      <c r="AC131" s="64">
        <v>4898928.1239359993</v>
      </c>
      <c r="AD131" s="64">
        <v>3735474.3417600002</v>
      </c>
      <c r="AE131" s="64">
        <v>1492245.5325120001</v>
      </c>
      <c r="AF131" s="64"/>
      <c r="AG131" s="64">
        <v>398188.42560000002</v>
      </c>
      <c r="AH131" s="64">
        <v>0</v>
      </c>
      <c r="AI131" s="64">
        <v>14265240.0912</v>
      </c>
      <c r="AJ131" s="64">
        <v>0</v>
      </c>
      <c r="AK131" s="64">
        <v>27696044.559456002</v>
      </c>
      <c r="AL131" s="64">
        <v>10892499.105599999</v>
      </c>
      <c r="AM131" s="64">
        <v>8946956.6400000006</v>
      </c>
      <c r="AN131" s="65">
        <v>875111.52</v>
      </c>
      <c r="AO131" s="66">
        <v>1662546.394176</v>
      </c>
      <c r="AP131" s="128">
        <f>+N131-'Приложение №2'!E140</f>
        <v>0</v>
      </c>
      <c r="AQ131" s="127">
        <f>2505054.36-R362</f>
        <v>1774548.5</v>
      </c>
      <c r="AR131" s="25">
        <f>+(K131*10+L131*20)*12*0.85</f>
        <v>532654.19999999995</v>
      </c>
      <c r="AS131" s="25">
        <f>+(K131*10+L131*20)*12*30-S362</f>
        <v>14401951.729840001</v>
      </c>
      <c r="AT131" s="127">
        <f t="shared" si="31"/>
        <v>0</v>
      </c>
      <c r="AW131" s="63">
        <f t="shared" si="32"/>
        <v>22252018.226827998</v>
      </c>
      <c r="AX131" s="64"/>
      <c r="AY131" s="64"/>
      <c r="AZ131" s="64"/>
      <c r="BA131" s="64"/>
      <c r="BB131" s="64"/>
      <c r="BC131" s="64"/>
      <c r="BD131" s="64"/>
      <c r="BE131" s="64">
        <v>0</v>
      </c>
      <c r="BF131" s="64"/>
      <c r="BG131" s="64">
        <v>0</v>
      </c>
      <c r="BH131" s="64">
        <v>21575728.449999999</v>
      </c>
      <c r="BI131" s="64"/>
      <c r="BJ131" s="64"/>
      <c r="BK131" s="65"/>
      <c r="BL131" s="66">
        <v>676289.77682800009</v>
      </c>
    </row>
    <row r="132" spans="1:64" x14ac:dyDescent="0.25">
      <c r="A132" s="122">
        <f t="shared" si="47"/>
        <v>115</v>
      </c>
      <c r="B132" s="62">
        <f t="shared" si="47"/>
        <v>115</v>
      </c>
      <c r="C132" s="62" t="s">
        <v>52</v>
      </c>
      <c r="D132" s="62" t="s">
        <v>1052</v>
      </c>
      <c r="E132" s="123">
        <v>1974</v>
      </c>
      <c r="F132" s="123">
        <v>2013</v>
      </c>
      <c r="G132" s="123" t="s">
        <v>43</v>
      </c>
      <c r="H132" s="123">
        <v>4</v>
      </c>
      <c r="I132" s="123">
        <v>4</v>
      </c>
      <c r="J132" s="64">
        <v>3940.9</v>
      </c>
      <c r="K132" s="64">
        <v>3373.8</v>
      </c>
      <c r="L132" s="64">
        <v>212.7</v>
      </c>
      <c r="M132" s="124">
        <v>140</v>
      </c>
      <c r="N132" s="63">
        <f>+P114+Q132+R132+S132+T132</f>
        <v>24178412.226240739</v>
      </c>
      <c r="O132" s="64"/>
      <c r="Q132" s="65"/>
      <c r="R132" s="65">
        <f>+AQ132+AR132</f>
        <v>1982331.96</v>
      </c>
      <c r="S132" s="65">
        <f>+'Приложение №2'!E141-'Приложение №1'!R132-'Приложение №1'!T132-P114</f>
        <v>10542328.346240738</v>
      </c>
      <c r="T132" s="64">
        <v>11653751.92</v>
      </c>
      <c r="U132" s="65">
        <f t="shared" ref="U132:V154" si="48">$N132/($K132+$L132)</f>
        <v>6741.506266901084</v>
      </c>
      <c r="V132" s="65">
        <f t="shared" si="48"/>
        <v>6741.506266901084</v>
      </c>
      <c r="W132" s="126">
        <v>2022</v>
      </c>
      <c r="X132" s="127" t="e">
        <f>+#REF!-'[1]Приложение №1'!$P1108</f>
        <v>#REF!</v>
      </c>
      <c r="Z132" s="63">
        <f t="shared" si="46"/>
        <v>62533714.207893997</v>
      </c>
      <c r="AA132" s="64">
        <v>6056878.3300000001</v>
      </c>
      <c r="AB132" s="64">
        <v>3324136.3562038802</v>
      </c>
      <c r="AC132" s="64">
        <v>3513858.2605085401</v>
      </c>
      <c r="AD132" s="64">
        <v>2679346.7940094802</v>
      </c>
      <c r="AE132" s="64">
        <v>1070344.1973180603</v>
      </c>
      <c r="AF132" s="64"/>
      <c r="AG132" s="64">
        <v>285608.94385380001</v>
      </c>
      <c r="AH132" s="64">
        <v>0</v>
      </c>
      <c r="AI132" s="64">
        <v>10232040.652318798</v>
      </c>
      <c r="AJ132" s="64">
        <v>0</v>
      </c>
      <c r="AK132" s="64">
        <v>19865564.963811003</v>
      </c>
      <c r="AL132" s="64">
        <v>7812871.9105562996</v>
      </c>
      <c r="AM132" s="64">
        <v>5963728.8811999997</v>
      </c>
      <c r="AN132" s="65">
        <v>570673.40870000003</v>
      </c>
      <c r="AO132" s="66">
        <v>1158661.5094141401</v>
      </c>
      <c r="AP132" s="128">
        <f>+N132-'Приложение №2'!E141</f>
        <v>0</v>
      </c>
      <c r="AQ132" s="23">
        <f>1707386.79-112573.23</f>
        <v>1594813.56</v>
      </c>
      <c r="AR132" s="25">
        <f>+(K132*10+L132*20)*12*0.85</f>
        <v>387518.39999999997</v>
      </c>
      <c r="AS132" s="25">
        <f>+(K132*10+L132*20)*12*30-810211.65</f>
        <v>12866908.35</v>
      </c>
      <c r="AT132" s="127">
        <f t="shared" si="31"/>
        <v>-2324580.0037592612</v>
      </c>
      <c r="AW132" s="63">
        <f t="shared" si="32"/>
        <v>24178412.226240739</v>
      </c>
      <c r="AX132" s="64">
        <v>5305996.59</v>
      </c>
      <c r="AY132" s="71"/>
      <c r="AZ132" s="71"/>
      <c r="BA132" s="71"/>
      <c r="BB132" s="64"/>
      <c r="BC132" s="64"/>
      <c r="BD132" s="64"/>
      <c r="BE132" s="64">
        <v>0</v>
      </c>
      <c r="BF132" s="64">
        <v>4125438.85</v>
      </c>
      <c r="BG132" s="64">
        <v>0</v>
      </c>
      <c r="BH132" s="64">
        <v>13688562.5</v>
      </c>
      <c r="BI132" s="64"/>
      <c r="BJ132" s="64"/>
      <c r="BK132" s="65"/>
      <c r="BL132" s="66">
        <v>1058414.2862407397</v>
      </c>
    </row>
    <row r="133" spans="1:64" x14ac:dyDescent="0.25">
      <c r="A133" s="122">
        <f t="shared" si="47"/>
        <v>116</v>
      </c>
      <c r="B133" s="62">
        <f t="shared" si="47"/>
        <v>116</v>
      </c>
      <c r="C133" s="62" t="s">
        <v>52</v>
      </c>
      <c r="D133" s="62" t="s">
        <v>707</v>
      </c>
      <c r="E133" s="123">
        <v>1977</v>
      </c>
      <c r="F133" s="123">
        <v>2013</v>
      </c>
      <c r="G133" s="123" t="s">
        <v>43</v>
      </c>
      <c r="H133" s="123">
        <v>9</v>
      </c>
      <c r="I133" s="123">
        <v>1</v>
      </c>
      <c r="J133" s="64">
        <v>2362.6</v>
      </c>
      <c r="K133" s="64">
        <v>1902.4</v>
      </c>
      <c r="L133" s="64">
        <v>195.5</v>
      </c>
      <c r="M133" s="124">
        <v>72</v>
      </c>
      <c r="N133" s="63">
        <f t="shared" ref="N133:N163" si="49">+P133+Q133+R133+S133+T133</f>
        <v>1817380.4565099401</v>
      </c>
      <c r="O133" s="64"/>
      <c r="P133" s="65"/>
      <c r="Q133" s="65"/>
      <c r="R133" s="65"/>
      <c r="S133" s="65">
        <f>+'Приложение №2'!E142-'Приложение №1'!P133-'Приложение №1'!Q133-'Приложение №1'!R133</f>
        <v>1817380.4565099401</v>
      </c>
      <c r="T133" s="64">
        <f>+'Приложение №2'!E142-'Приложение №1'!P133-'Приложение №1'!Q133-'Приложение №1'!R133-'Приложение №1'!S133</f>
        <v>0</v>
      </c>
      <c r="U133" s="65">
        <f t="shared" si="48"/>
        <v>866.28555055528864</v>
      </c>
      <c r="V133" s="65">
        <f t="shared" si="48"/>
        <v>866.28555055528864</v>
      </c>
      <c r="W133" s="126">
        <v>2022</v>
      </c>
      <c r="X133" s="127" t="e">
        <f>+#REF!-'[1]Приложение №1'!$P725</f>
        <v>#REF!</v>
      </c>
      <c r="Z133" s="63">
        <f t="shared" si="46"/>
        <v>28501175.670387998</v>
      </c>
      <c r="AA133" s="64">
        <v>3719699.05</v>
      </c>
      <c r="AB133" s="64">
        <v>2447938.8995804396</v>
      </c>
      <c r="AC133" s="64">
        <v>1490138.3398477801</v>
      </c>
      <c r="AD133" s="64">
        <v>1344414.3471276001</v>
      </c>
      <c r="AE133" s="64">
        <v>490934.10601116001</v>
      </c>
      <c r="AF133" s="64"/>
      <c r="AG133" s="64">
        <v>205256.04442223997</v>
      </c>
      <c r="AH133" s="64">
        <v>0</v>
      </c>
      <c r="AI133" s="64">
        <v>0</v>
      </c>
      <c r="AJ133" s="64">
        <v>0</v>
      </c>
      <c r="AK133" s="64">
        <v>15105792.339437097</v>
      </c>
      <c r="AL133" s="64">
        <v>0</v>
      </c>
      <c r="AM133" s="64">
        <v>2953956.3437999999</v>
      </c>
      <c r="AN133" s="65">
        <v>246262.91500000001</v>
      </c>
      <c r="AO133" s="66">
        <v>496783.28516168008</v>
      </c>
      <c r="AP133" s="128">
        <f>+N133-'Приложение №2'!E142</f>
        <v>0</v>
      </c>
      <c r="AQ133" s="23">
        <f>1288619.08-658887.88</f>
        <v>629731.20000000007</v>
      </c>
      <c r="AR133" s="25">
        <f>+(K133*13.29+L133*22.52)*12*0.85</f>
        <v>302792.67119999998</v>
      </c>
      <c r="AS133" s="25">
        <f>+(K133*13.29+L133*22.52)*12*30-8648.871</f>
        <v>10678151.289000001</v>
      </c>
      <c r="AT133" s="127">
        <f t="shared" si="31"/>
        <v>-8860770.8324900605</v>
      </c>
      <c r="AW133" s="63">
        <f t="shared" si="32"/>
        <v>1817380.4565099401</v>
      </c>
      <c r="AX133" s="64"/>
      <c r="AY133" s="64"/>
      <c r="AZ133" s="64">
        <v>707768.48</v>
      </c>
      <c r="BA133" s="64">
        <v>953897.51</v>
      </c>
      <c r="BB133" s="64"/>
      <c r="BC133" s="64"/>
      <c r="BD133" s="64"/>
      <c r="BE133" s="64">
        <v>0</v>
      </c>
      <c r="BF133" s="64">
        <v>0</v>
      </c>
      <c r="BG133" s="64">
        <v>0</v>
      </c>
      <c r="BH133" s="64"/>
      <c r="BI133" s="64">
        <v>0</v>
      </c>
      <c r="BJ133" s="64"/>
      <c r="BK133" s="65"/>
      <c r="BL133" s="66">
        <v>155714.46650994002</v>
      </c>
    </row>
    <row r="134" spans="1:64" x14ac:dyDescent="0.25">
      <c r="A134" s="122">
        <f t="shared" si="47"/>
        <v>117</v>
      </c>
      <c r="B134" s="62">
        <f t="shared" si="47"/>
        <v>117</v>
      </c>
      <c r="C134" s="62" t="s">
        <v>44</v>
      </c>
      <c r="D134" s="62" t="s">
        <v>772</v>
      </c>
      <c r="E134" s="123">
        <v>1979</v>
      </c>
      <c r="F134" s="123">
        <v>1979</v>
      </c>
      <c r="G134" s="123" t="s">
        <v>43</v>
      </c>
      <c r="H134" s="123">
        <v>4</v>
      </c>
      <c r="I134" s="123">
        <v>6</v>
      </c>
      <c r="J134" s="64">
        <v>3867.8</v>
      </c>
      <c r="K134" s="64">
        <v>3539.7</v>
      </c>
      <c r="L134" s="64">
        <v>0</v>
      </c>
      <c r="M134" s="124">
        <v>193</v>
      </c>
      <c r="N134" s="63">
        <f t="shared" si="49"/>
        <v>9785218.7020976003</v>
      </c>
      <c r="O134" s="64"/>
      <c r="P134" s="65">
        <v>7358449.5100000007</v>
      </c>
      <c r="Q134" s="65"/>
      <c r="R134" s="65"/>
      <c r="S134" s="65">
        <f>+'Приложение №2'!E143-'Приложение №1'!R134-P134</f>
        <v>2426769.1920975996</v>
      </c>
      <c r="T134" s="64">
        <f>+'Приложение №2'!E143-'Приложение №1'!P134-'Приложение №1'!Q134-'Приложение №1'!R134-'Приложение №1'!S134</f>
        <v>0</v>
      </c>
      <c r="U134" s="65">
        <f t="shared" si="48"/>
        <v>2764.4203469496288</v>
      </c>
      <c r="V134" s="65">
        <f t="shared" si="48"/>
        <v>2764.4203469496288</v>
      </c>
      <c r="W134" s="126">
        <v>2022</v>
      </c>
      <c r="X134" s="127" t="e">
        <f>+#REF!-'[1]Приложение №1'!$P1498</f>
        <v>#REF!</v>
      </c>
      <c r="Z134" s="63">
        <f t="shared" si="46"/>
        <v>36672038.07</v>
      </c>
      <c r="AA134" s="64">
        <v>0</v>
      </c>
      <c r="AB134" s="64">
        <v>0</v>
      </c>
      <c r="AC134" s="64">
        <v>0</v>
      </c>
      <c r="AD134" s="64">
        <v>0</v>
      </c>
      <c r="AE134" s="64">
        <v>0</v>
      </c>
      <c r="AF134" s="64"/>
      <c r="AG134" s="64">
        <v>0</v>
      </c>
      <c r="AH134" s="64">
        <v>0</v>
      </c>
      <c r="AI134" s="64">
        <v>15443839.101902403</v>
      </c>
      <c r="AJ134" s="64">
        <v>0</v>
      </c>
      <c r="AK134" s="64">
        <v>8018512.7549818195</v>
      </c>
      <c r="AL134" s="64">
        <v>8648904.6005779207</v>
      </c>
      <c r="AM134" s="64">
        <v>3491853.0894000004</v>
      </c>
      <c r="AN134" s="65">
        <v>366720.3807000001</v>
      </c>
      <c r="AO134" s="66">
        <v>702208.14243786025</v>
      </c>
      <c r="AP134" s="128">
        <f>+N134-'Приложение №2'!E143</f>
        <v>0</v>
      </c>
      <c r="AQ134" s="23">
        <v>1735682.5</v>
      </c>
      <c r="AR134" s="25">
        <f t="shared" ref="AR134:AR153" si="50">+(K134*10+L134*20)*12*0.85</f>
        <v>361049.39999999997</v>
      </c>
      <c r="AS134" s="25">
        <f>+(K134*10+L134*20)*12*30</f>
        <v>12742920</v>
      </c>
      <c r="AT134" s="127">
        <f t="shared" si="31"/>
        <v>-10316150.807902399</v>
      </c>
      <c r="AW134" s="63">
        <f t="shared" si="32"/>
        <v>9785218.7020976003</v>
      </c>
      <c r="AX134" s="64">
        <v>0</v>
      </c>
      <c r="AY134" s="64">
        <v>0</v>
      </c>
      <c r="AZ134" s="64">
        <v>0</v>
      </c>
      <c r="BA134" s="64">
        <v>0</v>
      </c>
      <c r="BB134" s="64">
        <v>0</v>
      </c>
      <c r="BC134" s="64"/>
      <c r="BD134" s="64"/>
      <c r="BE134" s="64">
        <v>0</v>
      </c>
      <c r="BF134" s="64">
        <v>9447493.2200000007</v>
      </c>
      <c r="BG134" s="64">
        <v>0</v>
      </c>
      <c r="BH134" s="64"/>
      <c r="BI134" s="64"/>
      <c r="BJ134" s="64"/>
      <c r="BK134" s="65"/>
      <c r="BL134" s="66">
        <v>337725.48209760012</v>
      </c>
    </row>
    <row r="135" spans="1:64" x14ac:dyDescent="0.25">
      <c r="A135" s="122">
        <f t="shared" si="47"/>
        <v>118</v>
      </c>
      <c r="B135" s="62">
        <f t="shared" si="47"/>
        <v>118</v>
      </c>
      <c r="C135" s="62" t="s">
        <v>44</v>
      </c>
      <c r="D135" s="62" t="s">
        <v>773</v>
      </c>
      <c r="E135" s="123">
        <v>1966</v>
      </c>
      <c r="F135" s="123">
        <v>1966</v>
      </c>
      <c r="G135" s="123" t="s">
        <v>43</v>
      </c>
      <c r="H135" s="123">
        <v>4</v>
      </c>
      <c r="I135" s="123">
        <v>2</v>
      </c>
      <c r="J135" s="64">
        <v>1327.2</v>
      </c>
      <c r="K135" s="64">
        <v>1234.5999999999999</v>
      </c>
      <c r="L135" s="64">
        <v>0</v>
      </c>
      <c r="M135" s="124">
        <v>61</v>
      </c>
      <c r="N135" s="63">
        <f t="shared" si="49"/>
        <v>459932.97</v>
      </c>
      <c r="O135" s="64"/>
      <c r="P135" s="65">
        <v>226913.39</v>
      </c>
      <c r="Q135" s="65"/>
      <c r="R135" s="65">
        <v>192796.30000000002</v>
      </c>
      <c r="S135" s="65">
        <f>+'Приложение №2'!E144-'Приложение №1'!P135-'Приложение №1'!R135</f>
        <v>40223.279999999941</v>
      </c>
      <c r="T135" s="64">
        <f>+'Приложение №2'!E144-'Приложение №1'!P135-'Приложение №1'!Q135-'Приложение №1'!R135-'Приложение №1'!S135</f>
        <v>0</v>
      </c>
      <c r="U135" s="65">
        <f t="shared" si="48"/>
        <v>372.53601976348614</v>
      </c>
      <c r="V135" s="65">
        <f t="shared" si="48"/>
        <v>372.53601976348614</v>
      </c>
      <c r="W135" s="126">
        <v>2022</v>
      </c>
      <c r="X135" s="127" t="e">
        <f>+#REF!-'[1]Приложение №1'!$P727</f>
        <v>#REF!</v>
      </c>
      <c r="Z135" s="63">
        <f t="shared" si="46"/>
        <v>621576.65</v>
      </c>
      <c r="AA135" s="64">
        <v>0</v>
      </c>
      <c r="AB135" s="64">
        <v>0</v>
      </c>
      <c r="AC135" s="64">
        <v>0</v>
      </c>
      <c r="AD135" s="64">
        <v>0</v>
      </c>
      <c r="AE135" s="64">
        <v>419709.68768610002</v>
      </c>
      <c r="AF135" s="64"/>
      <c r="AG135" s="64">
        <v>0</v>
      </c>
      <c r="AH135" s="64">
        <v>0</v>
      </c>
      <c r="AI135" s="64">
        <v>0</v>
      </c>
      <c r="AJ135" s="64">
        <v>0</v>
      </c>
      <c r="AK135" s="64">
        <v>0</v>
      </c>
      <c r="AL135" s="64">
        <v>0</v>
      </c>
      <c r="AM135" s="64">
        <v>186472.995</v>
      </c>
      <c r="AN135" s="65">
        <v>6215.7665000000006</v>
      </c>
      <c r="AO135" s="66">
        <v>9178.2008139000009</v>
      </c>
      <c r="AP135" s="128">
        <f>+N135-'Приложение №2'!E144</f>
        <v>0</v>
      </c>
      <c r="AQ135" s="23">
        <v>512184.69</v>
      </c>
      <c r="AR135" s="25">
        <f t="shared" si="50"/>
        <v>125929.2</v>
      </c>
      <c r="AS135" s="25">
        <f>+(K135*10+L135*20)*12*30</f>
        <v>4444560</v>
      </c>
      <c r="AT135" s="127">
        <f t="shared" si="31"/>
        <v>-4404336.72</v>
      </c>
      <c r="AW135" s="63">
        <f t="shared" si="32"/>
        <v>459932.97</v>
      </c>
      <c r="AX135" s="64">
        <v>0</v>
      </c>
      <c r="AY135" s="64">
        <v>0</v>
      </c>
      <c r="AZ135" s="64">
        <v>0</v>
      </c>
      <c r="BA135" s="64">
        <v>0</v>
      </c>
      <c r="BB135" s="64">
        <v>459932.97</v>
      </c>
      <c r="BC135" s="64"/>
      <c r="BD135" s="64"/>
      <c r="BE135" s="64">
        <v>0</v>
      </c>
      <c r="BF135" s="64">
        <v>0</v>
      </c>
      <c r="BG135" s="64">
        <v>0</v>
      </c>
      <c r="BH135" s="64">
        <v>0</v>
      </c>
      <c r="BI135" s="64">
        <v>0</v>
      </c>
      <c r="BJ135" s="64"/>
      <c r="BK135" s="65"/>
      <c r="BL135" s="66"/>
    </row>
    <row r="136" spans="1:64" ht="14.25" customHeight="1" x14ac:dyDescent="0.25">
      <c r="A136" s="122">
        <f t="shared" si="47"/>
        <v>119</v>
      </c>
      <c r="B136" s="62">
        <f t="shared" si="47"/>
        <v>119</v>
      </c>
      <c r="C136" s="62" t="s">
        <v>44</v>
      </c>
      <c r="D136" s="62" t="s">
        <v>774</v>
      </c>
      <c r="E136" s="123">
        <v>1969</v>
      </c>
      <c r="F136" s="123">
        <v>2013</v>
      </c>
      <c r="G136" s="123" t="s">
        <v>43</v>
      </c>
      <c r="H136" s="123">
        <v>4</v>
      </c>
      <c r="I136" s="123">
        <v>4</v>
      </c>
      <c r="J136" s="64">
        <v>3016.9</v>
      </c>
      <c r="K136" s="64">
        <v>2778.3</v>
      </c>
      <c r="L136" s="64">
        <v>0</v>
      </c>
      <c r="M136" s="124">
        <v>148</v>
      </c>
      <c r="N136" s="95">
        <f t="shared" si="49"/>
        <v>7411233.7756144591</v>
      </c>
      <c r="O136" s="64"/>
      <c r="P136" s="65">
        <v>1196060.5199999998</v>
      </c>
      <c r="Q136" s="65"/>
      <c r="R136" s="65">
        <f>+AQ136+AR136</f>
        <v>847797.20000000007</v>
      </c>
      <c r="S136" s="65">
        <f>+AS136</f>
        <v>2164833.5300000003</v>
      </c>
      <c r="T136" s="65">
        <f>+'Приложение №2'!E145-'Приложение №1'!P136-'Приложение №1'!Q136-'Приложение №1'!R136-'Приложение №1'!S136</f>
        <v>3202542.5256144591</v>
      </c>
      <c r="U136" s="64">
        <f t="shared" si="48"/>
        <v>2667.5426612008991</v>
      </c>
      <c r="V136" s="64">
        <f t="shared" si="48"/>
        <v>2667.5426612008991</v>
      </c>
      <c r="W136" s="126">
        <v>2022</v>
      </c>
      <c r="X136" s="127" t="e">
        <f>+#REF!-'[1]Приложение №1'!$P1314</f>
        <v>#REF!</v>
      </c>
      <c r="Y136" s="23" t="s">
        <v>87</v>
      </c>
      <c r="Z136" s="63">
        <f t="shared" si="46"/>
        <v>43468971.049999997</v>
      </c>
      <c r="AA136" s="64">
        <v>6634698.5656060204</v>
      </c>
      <c r="AB136" s="64">
        <v>2364215.8595970604</v>
      </c>
      <c r="AC136" s="64">
        <v>2470079.5170193799</v>
      </c>
      <c r="AD136" s="64">
        <v>0</v>
      </c>
      <c r="AE136" s="64">
        <v>946159.85291436012</v>
      </c>
      <c r="AF136" s="64"/>
      <c r="AG136" s="64">
        <v>254591.55199295998</v>
      </c>
      <c r="AH136" s="64">
        <v>0</v>
      </c>
      <c r="AI136" s="64">
        <v>12129238.4675742</v>
      </c>
      <c r="AJ136" s="64">
        <v>0</v>
      </c>
      <c r="AK136" s="64">
        <v>6297556.7640778795</v>
      </c>
      <c r="AL136" s="64">
        <v>6792652.1243855394</v>
      </c>
      <c r="AM136" s="64">
        <v>4316528.7305000005</v>
      </c>
      <c r="AN136" s="65">
        <v>434689.71049999999</v>
      </c>
      <c r="AO136" s="66">
        <v>828559.90583259996</v>
      </c>
      <c r="AP136" s="128">
        <f>+N136-'Приложение №2'!E145</f>
        <v>0</v>
      </c>
      <c r="AQ136" s="23">
        <f>1200544.79-636134.19</f>
        <v>564410.60000000009</v>
      </c>
      <c r="AR136" s="25">
        <f t="shared" si="50"/>
        <v>283386.59999999998</v>
      </c>
      <c r="AS136" s="25">
        <f>+(K136*10+L136*20)*12*30-7837046.47</f>
        <v>2164833.5300000003</v>
      </c>
      <c r="AT136" s="127">
        <f t="shared" si="31"/>
        <v>0</v>
      </c>
      <c r="AW136" s="63">
        <f t="shared" si="32"/>
        <v>7411233.7756144591</v>
      </c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>
        <v>6404791.8899999997</v>
      </c>
      <c r="BJ136" s="64">
        <v>779909.40100000007</v>
      </c>
      <c r="BK136" s="65">
        <v>77990.940099999993</v>
      </c>
      <c r="BL136" s="66">
        <v>148541.54451445999</v>
      </c>
    </row>
    <row r="137" spans="1:64" x14ac:dyDescent="0.25">
      <c r="A137" s="122">
        <f t="shared" si="47"/>
        <v>120</v>
      </c>
      <c r="B137" s="62">
        <f t="shared" si="47"/>
        <v>120</v>
      </c>
      <c r="C137" s="62" t="s">
        <v>44</v>
      </c>
      <c r="D137" s="62" t="s">
        <v>775</v>
      </c>
      <c r="E137" s="123">
        <v>1971</v>
      </c>
      <c r="F137" s="123">
        <v>1971</v>
      </c>
      <c r="G137" s="123" t="s">
        <v>43</v>
      </c>
      <c r="H137" s="123">
        <v>4</v>
      </c>
      <c r="I137" s="123">
        <v>4</v>
      </c>
      <c r="J137" s="64">
        <v>2851.3</v>
      </c>
      <c r="K137" s="64">
        <v>2629.3</v>
      </c>
      <c r="L137" s="64">
        <v>0</v>
      </c>
      <c r="M137" s="124">
        <v>126</v>
      </c>
      <c r="N137" s="63">
        <f t="shared" si="49"/>
        <v>1318598.3729000001</v>
      </c>
      <c r="O137" s="64"/>
      <c r="P137" s="65"/>
      <c r="Q137" s="65"/>
      <c r="R137" s="65">
        <f>+'Приложение №2'!E146</f>
        <v>1318598.3729000001</v>
      </c>
      <c r="S137" s="65">
        <f>+'Приложение №2'!E146-'Приложение №1'!R137</f>
        <v>0</v>
      </c>
      <c r="T137" s="64">
        <f>+'Приложение №2'!E146-'Приложение №1'!P137-'Приложение №1'!Q137-'Приложение №1'!R137-'Приложение №1'!S137</f>
        <v>0</v>
      </c>
      <c r="U137" s="65">
        <f t="shared" si="48"/>
        <v>501.50168215874947</v>
      </c>
      <c r="V137" s="65">
        <f t="shared" si="48"/>
        <v>501.50168215874947</v>
      </c>
      <c r="W137" s="126">
        <v>2022</v>
      </c>
      <c r="X137" s="127" t="e">
        <f>+#REF!-'[1]Приложение №1'!$P436</f>
        <v>#REF!</v>
      </c>
      <c r="Z137" s="63">
        <f t="shared" si="46"/>
        <v>6580564.0300000003</v>
      </c>
      <c r="AA137" s="64">
        <v>0</v>
      </c>
      <c r="AB137" s="64">
        <v>2237961.00035928</v>
      </c>
      <c r="AC137" s="64">
        <v>2338171.2866580603</v>
      </c>
      <c r="AD137" s="64">
        <v>0</v>
      </c>
      <c r="AE137" s="64">
        <v>895632.61937688012</v>
      </c>
      <c r="AF137" s="64"/>
      <c r="AG137" s="64">
        <v>0</v>
      </c>
      <c r="AH137" s="64">
        <v>0</v>
      </c>
      <c r="AI137" s="64">
        <v>0</v>
      </c>
      <c r="AJ137" s="64">
        <v>0</v>
      </c>
      <c r="AK137" s="64">
        <v>0</v>
      </c>
      <c r="AL137" s="64">
        <v>0</v>
      </c>
      <c r="AM137" s="64">
        <v>923337.06700000004</v>
      </c>
      <c r="AN137" s="65">
        <v>65805.640299999999</v>
      </c>
      <c r="AO137" s="66">
        <v>119656.41630578002</v>
      </c>
      <c r="AP137" s="128">
        <f>+N137-'Приложение №2'!E146</f>
        <v>0</v>
      </c>
      <c r="AQ137" s="23">
        <v>1216435.44</v>
      </c>
      <c r="AR137" s="25">
        <f t="shared" si="50"/>
        <v>268188.59999999998</v>
      </c>
      <c r="AS137" s="25">
        <f>+(K137*10+L137*20)*12*30</f>
        <v>9465480</v>
      </c>
      <c r="AT137" s="127">
        <f t="shared" si="31"/>
        <v>-9465480</v>
      </c>
      <c r="AW137" s="63">
        <f t="shared" si="32"/>
        <v>1318598.3729000001</v>
      </c>
      <c r="AX137" s="64">
        <v>0</v>
      </c>
      <c r="AY137" s="64"/>
      <c r="AZ137" s="64">
        <v>1005861.31</v>
      </c>
      <c r="BA137" s="64">
        <v>0</v>
      </c>
      <c r="BB137" s="64"/>
      <c r="BC137" s="64"/>
      <c r="BD137" s="64"/>
      <c r="BE137" s="64">
        <v>0</v>
      </c>
      <c r="BF137" s="64">
        <v>0</v>
      </c>
      <c r="BG137" s="64">
        <v>0</v>
      </c>
      <c r="BH137" s="64">
        <v>0</v>
      </c>
      <c r="BI137" s="64">
        <v>0</v>
      </c>
      <c r="BJ137" s="64">
        <v>268460.93900000001</v>
      </c>
      <c r="BK137" s="65">
        <v>26846.093900000003</v>
      </c>
      <c r="BL137" s="66">
        <v>17430.03</v>
      </c>
    </row>
    <row r="138" spans="1:64" x14ac:dyDescent="0.25">
      <c r="A138" s="122">
        <f t="shared" si="47"/>
        <v>121</v>
      </c>
      <c r="B138" s="62">
        <f t="shared" si="47"/>
        <v>121</v>
      </c>
      <c r="C138" s="62" t="s">
        <v>44</v>
      </c>
      <c r="D138" s="62" t="s">
        <v>776</v>
      </c>
      <c r="E138" s="123">
        <v>1962</v>
      </c>
      <c r="F138" s="123">
        <v>1962</v>
      </c>
      <c r="G138" s="123" t="s">
        <v>43</v>
      </c>
      <c r="H138" s="123">
        <v>2</v>
      </c>
      <c r="I138" s="123">
        <v>1</v>
      </c>
      <c r="J138" s="64">
        <v>618.70000000000005</v>
      </c>
      <c r="K138" s="64">
        <v>460.5</v>
      </c>
      <c r="L138" s="64">
        <v>0</v>
      </c>
      <c r="M138" s="124">
        <v>45</v>
      </c>
      <c r="N138" s="95">
        <f t="shared" si="49"/>
        <v>2497571.4777621999</v>
      </c>
      <c r="O138" s="64"/>
      <c r="P138" s="64">
        <v>705615.64</v>
      </c>
      <c r="Q138" s="65"/>
      <c r="R138" s="65">
        <f>+AQ138+AR138</f>
        <v>252901.75</v>
      </c>
      <c r="S138" s="65">
        <f>+'Приложение №2'!E147-'Приложение №1'!R138-P138</f>
        <v>1539054.0877621998</v>
      </c>
      <c r="T138" s="65">
        <f>+'Приложение №2'!E147-'Приложение №1'!P138-'Приложение №1'!Q138-'Приложение №1'!R138-'Приложение №1'!S138</f>
        <v>0</v>
      </c>
      <c r="U138" s="64">
        <f>$N138/($K138+$L138)</f>
        <v>5423.6079864542889</v>
      </c>
      <c r="V138" s="64">
        <f>$N138/($K138+$L138)</f>
        <v>5423.6079864542889</v>
      </c>
      <c r="W138" s="126">
        <v>2022</v>
      </c>
      <c r="X138" s="127" t="e">
        <f>+#REF!-'[1]Приложение №1'!$P640</f>
        <v>#REF!</v>
      </c>
      <c r="Z138" s="63">
        <f>SUM(AA138:AO138)</f>
        <v>6521557.4500000002</v>
      </c>
      <c r="AA138" s="64">
        <v>0</v>
      </c>
      <c r="AB138" s="64">
        <v>875995.49980991997</v>
      </c>
      <c r="AC138" s="64">
        <v>411337.83054587996</v>
      </c>
      <c r="AD138" s="64">
        <v>350714.74954488</v>
      </c>
      <c r="AE138" s="64">
        <v>0</v>
      </c>
      <c r="AF138" s="64"/>
      <c r="AG138" s="64">
        <v>0</v>
      </c>
      <c r="AH138" s="64">
        <v>0</v>
      </c>
      <c r="AI138" s="64">
        <v>4074971.6952377995</v>
      </c>
      <c r="AJ138" s="64">
        <v>0</v>
      </c>
      <c r="AK138" s="64">
        <v>0</v>
      </c>
      <c r="AL138" s="64">
        <v>0</v>
      </c>
      <c r="AM138" s="64">
        <v>618389.92870000005</v>
      </c>
      <c r="AN138" s="65">
        <v>65215.574499999995</v>
      </c>
      <c r="AO138" s="66">
        <v>124932.17166151998</v>
      </c>
      <c r="AP138" s="128">
        <f>+N138-'Приложение №2'!E147</f>
        <v>0</v>
      </c>
      <c r="AQ138" s="23">
        <v>205930.75</v>
      </c>
      <c r="AR138" s="25">
        <f>+(K138*10+L138*20)*12*0.85</f>
        <v>46971</v>
      </c>
      <c r="AS138" s="25">
        <f>+(K138*10+L138*20)*12*30-133800.13</f>
        <v>1523999.87</v>
      </c>
      <c r="AT138" s="127">
        <f>+S138-AS138</f>
        <v>15054.217762199696</v>
      </c>
      <c r="AU138" s="127">
        <f>+P138-'[6]Приложение №1'!$P336</f>
        <v>2.4999998277053237E-3</v>
      </c>
      <c r="AV138" s="127">
        <f>+Q138-'[6]Приложение №1'!$Q336</f>
        <v>0</v>
      </c>
      <c r="AW138" s="63">
        <f t="shared" si="32"/>
        <v>2497571.4777621999</v>
      </c>
      <c r="AX138" s="64">
        <v>0</v>
      </c>
      <c r="AY138" s="64"/>
      <c r="AZ138" s="64"/>
      <c r="BA138" s="64"/>
      <c r="BB138" s="64">
        <v>0</v>
      </c>
      <c r="BC138" s="64"/>
      <c r="BD138" s="64"/>
      <c r="BE138" s="64">
        <v>0</v>
      </c>
      <c r="BF138" s="64">
        <v>2408460.1</v>
      </c>
      <c r="BG138" s="64">
        <v>0</v>
      </c>
      <c r="BH138" s="64">
        <v>0</v>
      </c>
      <c r="BI138" s="64">
        <v>0</v>
      </c>
      <c r="BJ138" s="64"/>
      <c r="BK138" s="65"/>
      <c r="BL138" s="66">
        <v>89111.377762199991</v>
      </c>
    </row>
    <row r="139" spans="1:64" x14ac:dyDescent="0.25">
      <c r="A139" s="122">
        <f t="shared" si="47"/>
        <v>122</v>
      </c>
      <c r="B139" s="62">
        <f t="shared" si="47"/>
        <v>122</v>
      </c>
      <c r="C139" s="62" t="s">
        <v>64</v>
      </c>
      <c r="D139" s="62" t="s">
        <v>777</v>
      </c>
      <c r="E139" s="123">
        <v>1983</v>
      </c>
      <c r="F139" s="123">
        <v>1983</v>
      </c>
      <c r="G139" s="123" t="s">
        <v>43</v>
      </c>
      <c r="H139" s="123">
        <v>2</v>
      </c>
      <c r="I139" s="123">
        <v>2</v>
      </c>
      <c r="J139" s="64">
        <v>910.77</v>
      </c>
      <c r="K139" s="64">
        <v>841.26</v>
      </c>
      <c r="L139" s="64">
        <v>0</v>
      </c>
      <c r="M139" s="124">
        <v>34</v>
      </c>
      <c r="N139" s="63">
        <f t="shared" si="49"/>
        <v>977997.34184702008</v>
      </c>
      <c r="O139" s="64"/>
      <c r="P139" s="72"/>
      <c r="Q139" s="65"/>
      <c r="R139" s="65">
        <f t="shared" ref="R139:R144" si="51">+AQ139+AR139</f>
        <v>393318.14</v>
      </c>
      <c r="S139" s="65">
        <f>+'Приложение №2'!E148-'Приложение №1'!P139-'Приложение №1'!Q139-'Приложение №1'!R139</f>
        <v>584679.20184702007</v>
      </c>
      <c r="T139" s="64">
        <f>+'Приложение №2'!E148-'Приложение №1'!P139-'Приложение №1'!Q139-'Приложение №1'!R139-'Приложение №1'!S139</f>
        <v>0</v>
      </c>
      <c r="U139" s="65">
        <f t="shared" si="48"/>
        <v>1162.538741705323</v>
      </c>
      <c r="V139" s="65">
        <f t="shared" si="48"/>
        <v>1162.538741705323</v>
      </c>
      <c r="W139" s="126">
        <v>2022</v>
      </c>
      <c r="X139" s="127" t="e">
        <f>+#REF!-'[1]Приложение №1'!$P742</f>
        <v>#REF!</v>
      </c>
      <c r="Z139" s="63">
        <f t="shared" si="46"/>
        <v>6295969.4100000001</v>
      </c>
      <c r="AA139" s="64">
        <v>2467129.6784152202</v>
      </c>
      <c r="AB139" s="64">
        <v>1501213.4170404002</v>
      </c>
      <c r="AC139" s="64">
        <v>707372.31680261996</v>
      </c>
      <c r="AD139" s="64">
        <v>602841.43419444002</v>
      </c>
      <c r="AE139" s="64">
        <v>0</v>
      </c>
      <c r="AF139" s="64"/>
      <c r="AG139" s="64">
        <v>262217.35903776006</v>
      </c>
      <c r="AH139" s="64">
        <v>0</v>
      </c>
      <c r="AI139" s="64">
        <v>0</v>
      </c>
      <c r="AJ139" s="64">
        <v>0</v>
      </c>
      <c r="AK139" s="64">
        <v>0</v>
      </c>
      <c r="AL139" s="64">
        <v>0</v>
      </c>
      <c r="AM139" s="64">
        <v>571070.00050000008</v>
      </c>
      <c r="AN139" s="65">
        <v>62959.694100000001</v>
      </c>
      <c r="AO139" s="66">
        <v>121165.50990956002</v>
      </c>
      <c r="AP139" s="128">
        <f>+N139-'Приложение №2'!E148</f>
        <v>0</v>
      </c>
      <c r="AQ139" s="23">
        <f>380898.3-73388.68</f>
        <v>307509.62</v>
      </c>
      <c r="AR139" s="25">
        <f t="shared" si="50"/>
        <v>85808.52</v>
      </c>
      <c r="AS139" s="25">
        <f>+(K139*10+L139*20)*12*30-439562.52</f>
        <v>2588973.4800000004</v>
      </c>
      <c r="AT139" s="127">
        <f t="shared" si="31"/>
        <v>-2004294.2781529804</v>
      </c>
      <c r="AW139" s="63">
        <f t="shared" si="32"/>
        <v>977997.34184702008</v>
      </c>
      <c r="AX139" s="64">
        <v>918312.05</v>
      </c>
      <c r="AY139" s="64"/>
      <c r="AZ139" s="64"/>
      <c r="BA139" s="64"/>
      <c r="BB139" s="64">
        <v>0</v>
      </c>
      <c r="BC139" s="64"/>
      <c r="BD139" s="64"/>
      <c r="BE139" s="64">
        <v>0</v>
      </c>
      <c r="BF139" s="64">
        <v>0</v>
      </c>
      <c r="BG139" s="64">
        <v>0</v>
      </c>
      <c r="BH139" s="64">
        <v>0</v>
      </c>
      <c r="BI139" s="64">
        <v>0</v>
      </c>
      <c r="BJ139" s="64"/>
      <c r="BK139" s="65"/>
      <c r="BL139" s="66">
        <v>59685.291847020017</v>
      </c>
    </row>
    <row r="140" spans="1:64" x14ac:dyDescent="0.25">
      <c r="A140" s="122">
        <f t="shared" si="47"/>
        <v>123</v>
      </c>
      <c r="B140" s="62">
        <f t="shared" si="47"/>
        <v>123</v>
      </c>
      <c r="C140" s="62" t="s">
        <v>55</v>
      </c>
      <c r="D140" s="62" t="s">
        <v>782</v>
      </c>
      <c r="E140" s="123">
        <v>1976</v>
      </c>
      <c r="F140" s="123">
        <v>2008</v>
      </c>
      <c r="G140" s="123" t="s">
        <v>43</v>
      </c>
      <c r="H140" s="123">
        <v>4</v>
      </c>
      <c r="I140" s="123">
        <v>4</v>
      </c>
      <c r="J140" s="64">
        <v>4257.32</v>
      </c>
      <c r="K140" s="64">
        <v>3128.38</v>
      </c>
      <c r="L140" s="64">
        <v>991.08</v>
      </c>
      <c r="M140" s="124">
        <v>124</v>
      </c>
      <c r="N140" s="63">
        <f t="shared" si="49"/>
        <v>5475068.96438374</v>
      </c>
      <c r="O140" s="64"/>
      <c r="P140" s="65"/>
      <c r="Q140" s="65"/>
      <c r="R140" s="65">
        <f t="shared" si="51"/>
        <v>1333462.67</v>
      </c>
      <c r="S140" s="65">
        <f>+'Приложение №2'!E149-'Приложение №1'!R140</f>
        <v>4141606.2943837401</v>
      </c>
      <c r="T140" s="64">
        <f>+'Приложение №2'!E149-'Приложение №1'!P140-'Приложение №1'!Q140-'Приложение №1'!R140-'Приложение №1'!S140</f>
        <v>0</v>
      </c>
      <c r="U140" s="65">
        <f t="shared" si="48"/>
        <v>1329.0744331499129</v>
      </c>
      <c r="V140" s="65">
        <f t="shared" si="48"/>
        <v>1329.0744331499129</v>
      </c>
      <c r="W140" s="126">
        <v>2022</v>
      </c>
      <c r="X140" s="127" t="e">
        <f>+#REF!-'[1]Приложение №1'!$P565</f>
        <v>#REF!</v>
      </c>
      <c r="Z140" s="63">
        <f t="shared" si="46"/>
        <v>16411728.570000004</v>
      </c>
      <c r="AA140" s="64">
        <v>7185234.1705489811</v>
      </c>
      <c r="AB140" s="64">
        <v>2542217.2836664799</v>
      </c>
      <c r="AC140" s="64">
        <v>0</v>
      </c>
      <c r="AD140" s="64">
        <v>1662855.463857</v>
      </c>
      <c r="AE140" s="64">
        <v>2127796.9824119406</v>
      </c>
      <c r="AF140" s="64"/>
      <c r="AG140" s="64">
        <v>285097.02429768001</v>
      </c>
      <c r="AH140" s="64">
        <v>0</v>
      </c>
      <c r="AI140" s="64">
        <v>0</v>
      </c>
      <c r="AJ140" s="64">
        <v>0</v>
      </c>
      <c r="AK140" s="64">
        <v>0</v>
      </c>
      <c r="AL140" s="64">
        <v>0</v>
      </c>
      <c r="AM140" s="64">
        <v>2142562.3114999998</v>
      </c>
      <c r="AN140" s="65">
        <v>164117.28570000004</v>
      </c>
      <c r="AO140" s="66">
        <v>301848.04801792005</v>
      </c>
      <c r="AP140" s="128">
        <f>+N140-'Приложение №2'!E149</f>
        <v>0</v>
      </c>
      <c r="AQ140" s="23">
        <f>1377282.4-565094.81</f>
        <v>812187.58999999985</v>
      </c>
      <c r="AR140" s="25">
        <f t="shared" si="50"/>
        <v>521275.08</v>
      </c>
      <c r="AS140" s="25">
        <f>+(K140*10+L140*20)*12*30-180969.62</f>
        <v>18216974.379999999</v>
      </c>
      <c r="AT140" s="127">
        <f t="shared" si="31"/>
        <v>-14075368.085616259</v>
      </c>
      <c r="AW140" s="63">
        <f t="shared" si="32"/>
        <v>5475068.96438374</v>
      </c>
      <c r="AX140" s="64"/>
      <c r="AY140" s="64"/>
      <c r="AZ140" s="64">
        <v>0</v>
      </c>
      <c r="BA140" s="64"/>
      <c r="BB140" s="64"/>
      <c r="BC140" s="64"/>
      <c r="BD140" s="64"/>
      <c r="BE140" s="64">
        <v>0</v>
      </c>
      <c r="BF140" s="64">
        <v>0</v>
      </c>
      <c r="BG140" s="71"/>
      <c r="BH140" s="64">
        <v>0</v>
      </c>
      <c r="BI140" s="64">
        <v>3924912.66</v>
      </c>
      <c r="BJ140" s="64">
        <v>1200305.659</v>
      </c>
      <c r="BK140" s="65">
        <v>108232.6369</v>
      </c>
      <c r="BL140" s="66">
        <v>241618.00848373998</v>
      </c>
    </row>
    <row r="141" spans="1:64" x14ac:dyDescent="0.25">
      <c r="A141" s="122">
        <f t="shared" si="47"/>
        <v>124</v>
      </c>
      <c r="B141" s="62">
        <f t="shared" si="47"/>
        <v>124</v>
      </c>
      <c r="C141" s="62" t="s">
        <v>55</v>
      </c>
      <c r="D141" s="62" t="s">
        <v>783</v>
      </c>
      <c r="E141" s="123">
        <v>1964</v>
      </c>
      <c r="F141" s="123">
        <v>1964</v>
      </c>
      <c r="G141" s="123" t="s">
        <v>43</v>
      </c>
      <c r="H141" s="123">
        <v>2</v>
      </c>
      <c r="I141" s="123">
        <v>2</v>
      </c>
      <c r="J141" s="64">
        <v>816.77</v>
      </c>
      <c r="K141" s="64">
        <v>598.04999999999995</v>
      </c>
      <c r="L141" s="64">
        <v>218.72</v>
      </c>
      <c r="M141" s="124">
        <v>23</v>
      </c>
      <c r="N141" s="63">
        <f t="shared" si="49"/>
        <v>5269327.2909560008</v>
      </c>
      <c r="O141" s="64"/>
      <c r="P141" s="72"/>
      <c r="Q141" s="65"/>
      <c r="R141" s="65">
        <f t="shared" si="51"/>
        <v>229835.71999999997</v>
      </c>
      <c r="S141" s="65">
        <f>+AS141</f>
        <v>3698306.2799999993</v>
      </c>
      <c r="T141" s="64">
        <f>+'Приложение №2'!E150-'Приложение №1'!P141-'Приложение №1'!Q141-'Приложение №1'!R141-'Приложение №1'!S141</f>
        <v>1341185.2909560017</v>
      </c>
      <c r="U141" s="65">
        <f t="shared" si="48"/>
        <v>6451.4211968559093</v>
      </c>
      <c r="V141" s="65">
        <f t="shared" si="48"/>
        <v>6451.4211968559093</v>
      </c>
      <c r="W141" s="126">
        <v>2022</v>
      </c>
      <c r="X141" s="127" t="e">
        <f>+#REF!-'[1]Приложение №1'!$P563</f>
        <v>#REF!</v>
      </c>
      <c r="Z141" s="63">
        <f t="shared" si="46"/>
        <v>6301561.3699999992</v>
      </c>
      <c r="AA141" s="64">
        <v>0</v>
      </c>
      <c r="AB141" s="64">
        <v>0</v>
      </c>
      <c r="AC141" s="64">
        <v>499972.95528431999</v>
      </c>
      <c r="AD141" s="64">
        <v>0</v>
      </c>
      <c r="AE141" s="64">
        <v>0</v>
      </c>
      <c r="AF141" s="64"/>
      <c r="AG141" s="64">
        <v>0</v>
      </c>
      <c r="AH141" s="64">
        <v>0</v>
      </c>
      <c r="AI141" s="64">
        <v>5044446.5320746005</v>
      </c>
      <c r="AJ141" s="64">
        <v>0</v>
      </c>
      <c r="AK141" s="64">
        <v>0</v>
      </c>
      <c r="AL141" s="64">
        <v>0</v>
      </c>
      <c r="AM141" s="64">
        <v>572881.04409999994</v>
      </c>
      <c r="AN141" s="65">
        <v>63015.613700000002</v>
      </c>
      <c r="AO141" s="66">
        <v>121245.22484108002</v>
      </c>
      <c r="AP141" s="128">
        <f>+N141-'Приложение №2'!E150</f>
        <v>0</v>
      </c>
      <c r="AQ141" s="23">
        <f>223283.02-99067.28</f>
        <v>124215.73999999999</v>
      </c>
      <c r="AR141" s="25">
        <f t="shared" si="50"/>
        <v>105619.97999999998</v>
      </c>
      <c r="AS141" s="25">
        <f>+(K141*10+L141*20)*12*30-29457.72</f>
        <v>3698306.2799999993</v>
      </c>
      <c r="AT141" s="127">
        <f t="shared" si="31"/>
        <v>0</v>
      </c>
      <c r="AW141" s="63">
        <f t="shared" si="32"/>
        <v>5269327.2909560008</v>
      </c>
      <c r="AX141" s="64">
        <v>0</v>
      </c>
      <c r="AY141" s="64"/>
      <c r="AZ141" s="64"/>
      <c r="BA141" s="64"/>
      <c r="BB141" s="64">
        <v>0</v>
      </c>
      <c r="BC141" s="64"/>
      <c r="BD141" s="64"/>
      <c r="BE141" s="64">
        <v>0</v>
      </c>
      <c r="BF141" s="64">
        <v>4903240.6500000004</v>
      </c>
      <c r="BG141" s="64">
        <v>0</v>
      </c>
      <c r="BH141" s="64">
        <v>0</v>
      </c>
      <c r="BI141" s="64">
        <v>0</v>
      </c>
      <c r="BJ141" s="64">
        <v>229623.16999999998</v>
      </c>
      <c r="BK141" s="65">
        <v>6666.66</v>
      </c>
      <c r="BL141" s="66">
        <v>129796.81095600002</v>
      </c>
    </row>
    <row r="142" spans="1:64" x14ac:dyDescent="0.25">
      <c r="A142" s="122">
        <f t="shared" si="47"/>
        <v>125</v>
      </c>
      <c r="B142" s="62">
        <f t="shared" si="47"/>
        <v>125</v>
      </c>
      <c r="C142" s="62" t="s">
        <v>55</v>
      </c>
      <c r="D142" s="62" t="s">
        <v>784</v>
      </c>
      <c r="E142" s="123">
        <v>1975</v>
      </c>
      <c r="F142" s="123">
        <v>2008</v>
      </c>
      <c r="G142" s="123" t="s">
        <v>43</v>
      </c>
      <c r="H142" s="123">
        <v>4</v>
      </c>
      <c r="I142" s="123">
        <v>4</v>
      </c>
      <c r="J142" s="64">
        <v>4182.96</v>
      </c>
      <c r="K142" s="64">
        <v>3048.03</v>
      </c>
      <c r="L142" s="64">
        <v>978.37</v>
      </c>
      <c r="M142" s="124">
        <v>135</v>
      </c>
      <c r="N142" s="63">
        <f t="shared" si="49"/>
        <v>5224437.8286898192</v>
      </c>
      <c r="O142" s="64"/>
      <c r="P142" s="65"/>
      <c r="Q142" s="65"/>
      <c r="R142" s="65">
        <f t="shared" si="51"/>
        <v>1566212.3599999999</v>
      </c>
      <c r="S142" s="65">
        <f>+'Приложение №2'!E151-'Приложение №1'!R142</f>
        <v>3658225.4686898193</v>
      </c>
      <c r="T142" s="64">
        <f>+'Приложение №2'!E151-'Приложение №1'!P142-'Приложение №1'!Q142-'Приложение №1'!R142-'Приложение №1'!S142</f>
        <v>0</v>
      </c>
      <c r="U142" s="65">
        <f t="shared" si="48"/>
        <v>1297.5456558438852</v>
      </c>
      <c r="V142" s="65">
        <f t="shared" si="48"/>
        <v>1297.5456558438852</v>
      </c>
      <c r="W142" s="126">
        <v>2022</v>
      </c>
      <c r="X142" s="127" t="e">
        <f>+#REF!-'[1]Приложение №1'!$P564</f>
        <v>#REF!</v>
      </c>
      <c r="Z142" s="63">
        <f t="shared" si="46"/>
        <v>16048675.259999996</v>
      </c>
      <c r="AA142" s="64">
        <v>7026285.4671664191</v>
      </c>
      <c r="AB142" s="64">
        <v>2485979.4267953397</v>
      </c>
      <c r="AC142" s="64">
        <v>0</v>
      </c>
      <c r="AD142" s="64">
        <v>1626070.4809313999</v>
      </c>
      <c r="AE142" s="64">
        <v>2080726.7578889399</v>
      </c>
      <c r="AF142" s="64"/>
      <c r="AG142" s="64">
        <v>278790.22600296006</v>
      </c>
      <c r="AH142" s="64">
        <v>0</v>
      </c>
      <c r="AI142" s="64">
        <v>0</v>
      </c>
      <c r="AJ142" s="64">
        <v>0</v>
      </c>
      <c r="AK142" s="64">
        <v>0</v>
      </c>
      <c r="AL142" s="64">
        <v>0</v>
      </c>
      <c r="AM142" s="64">
        <v>2095165.4553</v>
      </c>
      <c r="AN142" s="65">
        <v>160486.75260000001</v>
      </c>
      <c r="AO142" s="66">
        <v>295170.69331494003</v>
      </c>
      <c r="AP142" s="128">
        <f>+N142-'Приложение №2'!E151</f>
        <v>0</v>
      </c>
      <c r="AQ142" s="23">
        <f>1500891.17-445165.35</f>
        <v>1055725.8199999998</v>
      </c>
      <c r="AR142" s="25">
        <f t="shared" si="50"/>
        <v>510486.54</v>
      </c>
      <c r="AS142" s="25">
        <f>+(K142*10+L142*20)*12*30-179374.89</f>
        <v>17837797.109999999</v>
      </c>
      <c r="AT142" s="127">
        <f t="shared" si="31"/>
        <v>-14179571.64131018</v>
      </c>
      <c r="AW142" s="63">
        <f t="shared" si="32"/>
        <v>5224437.8286898192</v>
      </c>
      <c r="AX142" s="64"/>
      <c r="AY142" s="64"/>
      <c r="AZ142" s="64"/>
      <c r="BA142" s="64"/>
      <c r="BB142" s="64"/>
      <c r="BC142" s="64"/>
      <c r="BD142" s="64"/>
      <c r="BE142" s="64">
        <v>0</v>
      </c>
      <c r="BF142" s="64">
        <v>0</v>
      </c>
      <c r="BG142" s="71"/>
      <c r="BH142" s="64">
        <v>0</v>
      </c>
      <c r="BI142" s="64">
        <v>3209479.43</v>
      </c>
      <c r="BJ142" s="64">
        <v>1575434.3365000002</v>
      </c>
      <c r="BK142" s="65">
        <v>151747.05220000001</v>
      </c>
      <c r="BL142" s="66">
        <v>287777.00998981996</v>
      </c>
    </row>
    <row r="143" spans="1:64" x14ac:dyDescent="0.25">
      <c r="A143" s="122">
        <f t="shared" si="47"/>
        <v>126</v>
      </c>
      <c r="B143" s="62">
        <f t="shared" si="47"/>
        <v>126</v>
      </c>
      <c r="C143" s="62" t="s">
        <v>55</v>
      </c>
      <c r="D143" s="62" t="s">
        <v>785</v>
      </c>
      <c r="E143" s="123">
        <v>1978</v>
      </c>
      <c r="F143" s="123">
        <v>2007</v>
      </c>
      <c r="G143" s="123" t="s">
        <v>43</v>
      </c>
      <c r="H143" s="123">
        <v>4</v>
      </c>
      <c r="I143" s="123">
        <v>4</v>
      </c>
      <c r="J143" s="64">
        <v>3576.31</v>
      </c>
      <c r="K143" s="64">
        <v>2733.31</v>
      </c>
      <c r="L143" s="64">
        <v>843</v>
      </c>
      <c r="M143" s="124">
        <v>110</v>
      </c>
      <c r="N143" s="63">
        <f t="shared" si="49"/>
        <v>5699865.1681458</v>
      </c>
      <c r="O143" s="64"/>
      <c r="P143" s="65"/>
      <c r="Q143" s="65"/>
      <c r="R143" s="65">
        <f t="shared" si="51"/>
        <v>1244325.77</v>
      </c>
      <c r="S143" s="65">
        <f>+'Приложение №2'!E152-'Приложение №1'!R143</f>
        <v>4455539.3981458005</v>
      </c>
      <c r="T143" s="64">
        <f>+'Приложение №2'!E152-'Приложение №1'!P143-'Приложение №1'!Q143-'Приложение №1'!R143-'Приложение №1'!S143</f>
        <v>0</v>
      </c>
      <c r="U143" s="65">
        <f t="shared" si="48"/>
        <v>1593.7838632964704</v>
      </c>
      <c r="V143" s="65">
        <f t="shared" si="48"/>
        <v>1593.7838632964704</v>
      </c>
      <c r="W143" s="126">
        <v>2022</v>
      </c>
      <c r="X143" s="127" t="e">
        <f>+#REF!-'[1]Приложение №1'!$P565</f>
        <v>#REF!</v>
      </c>
      <c r="Z143" s="63">
        <f t="shared" si="46"/>
        <v>14323988.610000001</v>
      </c>
      <c r="AA143" s="64">
        <v>6271198.8006540602</v>
      </c>
      <c r="AB143" s="64">
        <v>2218821.2026700997</v>
      </c>
      <c r="AC143" s="64">
        <v>0</v>
      </c>
      <c r="AD143" s="64">
        <v>1451323.2211791598</v>
      </c>
      <c r="AE143" s="64">
        <v>1857119.41303938</v>
      </c>
      <c r="AF143" s="64"/>
      <c r="AG143" s="64">
        <v>248829.75972035999</v>
      </c>
      <c r="AH143" s="64">
        <v>0</v>
      </c>
      <c r="AI143" s="64">
        <v>0</v>
      </c>
      <c r="AJ143" s="64">
        <v>0</v>
      </c>
      <c r="AK143" s="64">
        <v>0</v>
      </c>
      <c r="AL143" s="64">
        <v>0</v>
      </c>
      <c r="AM143" s="64">
        <v>1870006.4417999999</v>
      </c>
      <c r="AN143" s="65">
        <v>143239.88609999997</v>
      </c>
      <c r="AO143" s="66">
        <v>263449.88483693998</v>
      </c>
      <c r="AP143" s="128">
        <f>+N143-'Приложение №2'!E152</f>
        <v>0</v>
      </c>
      <c r="AQ143" s="23">
        <f>1278728.82-485172.67</f>
        <v>793556.15000000014</v>
      </c>
      <c r="AR143" s="25">
        <f t="shared" si="50"/>
        <v>450769.61999999994</v>
      </c>
      <c r="AS143" s="25">
        <f>+(K143*10+L143*20)*12*30-175262.76</f>
        <v>15734253.239999998</v>
      </c>
      <c r="AT143" s="127">
        <f t="shared" si="31"/>
        <v>-11278713.841854198</v>
      </c>
      <c r="AW143" s="63">
        <f t="shared" si="32"/>
        <v>5699865.1681458</v>
      </c>
      <c r="AX143" s="64"/>
      <c r="AY143" s="64"/>
      <c r="AZ143" s="64"/>
      <c r="BA143" s="64"/>
      <c r="BB143" s="64"/>
      <c r="BC143" s="64"/>
      <c r="BD143" s="64"/>
      <c r="BE143" s="64">
        <v>0</v>
      </c>
      <c r="BF143" s="64">
        <v>0</v>
      </c>
      <c r="BG143" s="71"/>
      <c r="BH143" s="64">
        <v>0</v>
      </c>
      <c r="BI143" s="64">
        <v>4230200.7</v>
      </c>
      <c r="BJ143" s="64">
        <v>1151371.1732999999</v>
      </c>
      <c r="BK143" s="65">
        <v>109963.64969999999</v>
      </c>
      <c r="BL143" s="66">
        <v>208329.64514579996</v>
      </c>
    </row>
    <row r="144" spans="1:64" x14ac:dyDescent="0.25">
      <c r="A144" s="122">
        <f t="shared" si="47"/>
        <v>127</v>
      </c>
      <c r="B144" s="62">
        <f t="shared" si="47"/>
        <v>127</v>
      </c>
      <c r="C144" s="62" t="s">
        <v>55</v>
      </c>
      <c r="D144" s="62" t="s">
        <v>786</v>
      </c>
      <c r="E144" s="123">
        <v>1964</v>
      </c>
      <c r="F144" s="123">
        <v>1964</v>
      </c>
      <c r="G144" s="123" t="s">
        <v>43</v>
      </c>
      <c r="H144" s="123">
        <v>2</v>
      </c>
      <c r="I144" s="123">
        <v>2</v>
      </c>
      <c r="J144" s="64">
        <v>868.87</v>
      </c>
      <c r="K144" s="64">
        <v>613.55999999999995</v>
      </c>
      <c r="L144" s="64">
        <v>255.31</v>
      </c>
      <c r="M144" s="124">
        <v>26</v>
      </c>
      <c r="N144" s="63">
        <f t="shared" si="49"/>
        <v>5854211.9964419995</v>
      </c>
      <c r="O144" s="64"/>
      <c r="P144" s="72"/>
      <c r="Q144" s="65"/>
      <c r="R144" s="65">
        <f t="shared" si="51"/>
        <v>292223.84999999998</v>
      </c>
      <c r="S144" s="65">
        <f>+AS144</f>
        <v>4017523.1399999992</v>
      </c>
      <c r="T144" s="64">
        <f>+'Приложение №2'!E153-'Приложение №1'!P144-'Приложение №1'!Q144-'Приложение №1'!R144-'Приложение №1'!S144</f>
        <v>1544465.0064420006</v>
      </c>
      <c r="U144" s="65">
        <f t="shared" si="48"/>
        <v>6737.7306115322199</v>
      </c>
      <c r="V144" s="65">
        <f t="shared" si="48"/>
        <v>6737.7306115322199</v>
      </c>
      <c r="W144" s="126">
        <v>2022</v>
      </c>
      <c r="X144" s="127" t="e">
        <f>+#REF!-'[1]Приложение №1'!$P566</f>
        <v>#REF!</v>
      </c>
      <c r="Z144" s="63">
        <f t="shared" si="46"/>
        <v>6504868.2400000012</v>
      </c>
      <c r="AA144" s="64">
        <v>0</v>
      </c>
      <c r="AB144" s="64">
        <v>0</v>
      </c>
      <c r="AC144" s="64">
        <v>516103.55464625999</v>
      </c>
      <c r="AD144" s="64">
        <v>0</v>
      </c>
      <c r="AE144" s="64">
        <v>0</v>
      </c>
      <c r="AF144" s="64"/>
      <c r="AG144" s="64">
        <v>0</v>
      </c>
      <c r="AH144" s="64">
        <v>0</v>
      </c>
      <c r="AI144" s="64">
        <v>5207195.1827070005</v>
      </c>
      <c r="AJ144" s="64">
        <v>0</v>
      </c>
      <c r="AK144" s="64">
        <v>0</v>
      </c>
      <c r="AL144" s="64">
        <v>0</v>
      </c>
      <c r="AM144" s="64">
        <v>591363.86849999998</v>
      </c>
      <c r="AN144" s="65">
        <v>65048.682400000005</v>
      </c>
      <c r="AO144" s="66">
        <v>125156.95174674</v>
      </c>
      <c r="AP144" s="128">
        <f>+N144-'Приложение №2'!E153</f>
        <v>0</v>
      </c>
      <c r="AQ144" s="23">
        <f>278417.8-100860.31</f>
        <v>177557.49</v>
      </c>
      <c r="AR144" s="25">
        <f t="shared" si="50"/>
        <v>114666.35999999997</v>
      </c>
      <c r="AS144" s="25">
        <f>+(K144*10+L144*20)*12*30-29524.86</f>
        <v>4017523.1399999992</v>
      </c>
      <c r="AT144" s="127">
        <f t="shared" ref="AT144:AT203" si="52">+S144-AS144</f>
        <v>0</v>
      </c>
      <c r="AW144" s="63">
        <f t="shared" si="32"/>
        <v>5854211.9964419995</v>
      </c>
      <c r="AX144" s="64">
        <v>0</v>
      </c>
      <c r="AY144" s="64"/>
      <c r="AZ144" s="64"/>
      <c r="BA144" s="64"/>
      <c r="BB144" s="64">
        <v>0</v>
      </c>
      <c r="BC144" s="64"/>
      <c r="BD144" s="64"/>
      <c r="BE144" s="64">
        <v>0</v>
      </c>
      <c r="BF144" s="64">
        <v>5484086.3899999997</v>
      </c>
      <c r="BG144" s="64">
        <v>0</v>
      </c>
      <c r="BH144" s="64">
        <v>0</v>
      </c>
      <c r="BI144" s="64">
        <v>0</v>
      </c>
      <c r="BJ144" s="64">
        <v>229304.55</v>
      </c>
      <c r="BK144" s="65">
        <v>6666.66</v>
      </c>
      <c r="BL144" s="66">
        <v>134154.396442</v>
      </c>
    </row>
    <row r="145" spans="1:64" x14ac:dyDescent="0.25">
      <c r="A145" s="122">
        <f t="shared" si="47"/>
        <v>128</v>
      </c>
      <c r="B145" s="62">
        <f t="shared" si="47"/>
        <v>128</v>
      </c>
      <c r="C145" s="62" t="s">
        <v>56</v>
      </c>
      <c r="D145" s="62" t="s">
        <v>794</v>
      </c>
      <c r="E145" s="123">
        <v>1977</v>
      </c>
      <c r="F145" s="123">
        <v>1977</v>
      </c>
      <c r="G145" s="123" t="s">
        <v>43</v>
      </c>
      <c r="H145" s="123">
        <v>5</v>
      </c>
      <c r="I145" s="123">
        <v>1</v>
      </c>
      <c r="J145" s="64">
        <v>1730.3</v>
      </c>
      <c r="K145" s="64">
        <v>1456.4</v>
      </c>
      <c r="L145" s="64">
        <v>0</v>
      </c>
      <c r="M145" s="124">
        <v>49</v>
      </c>
      <c r="N145" s="63">
        <f t="shared" si="49"/>
        <v>7339250.7175320005</v>
      </c>
      <c r="O145" s="64"/>
      <c r="P145" s="65">
        <v>543550.55000000005</v>
      </c>
      <c r="Q145" s="65"/>
      <c r="R145" s="65">
        <v>737257.37</v>
      </c>
      <c r="S145" s="65">
        <v>1453245.72</v>
      </c>
      <c r="T145" s="64">
        <f>+'Приложение №2'!E154-'Приложение №1'!P145-'Приложение №1'!Q145-'Приложение №1'!R145-'Приложение №1'!S145</f>
        <v>4605197.0775320008</v>
      </c>
      <c r="U145" s="65">
        <f t="shared" si="48"/>
        <v>5039.309748374073</v>
      </c>
      <c r="V145" s="65">
        <f t="shared" si="48"/>
        <v>5039.309748374073</v>
      </c>
      <c r="W145" s="126">
        <v>2022</v>
      </c>
      <c r="X145" s="127" t="e">
        <f>+#REF!-'[1]Приложение №1'!$P791</f>
        <v>#REF!</v>
      </c>
      <c r="Z145" s="63">
        <f t="shared" si="46"/>
        <v>38072067.120000005</v>
      </c>
      <c r="AA145" s="64">
        <v>4710479.1050062198</v>
      </c>
      <c r="AB145" s="64">
        <v>2176226.3089270201</v>
      </c>
      <c r="AC145" s="64">
        <v>2204614.3839224395</v>
      </c>
      <c r="AD145" s="64">
        <v>1424137.1203432798</v>
      </c>
      <c r="AE145" s="64">
        <v>0</v>
      </c>
      <c r="AF145" s="64"/>
      <c r="AG145" s="64">
        <v>146063.50321331999</v>
      </c>
      <c r="AH145" s="64">
        <v>0</v>
      </c>
      <c r="AI145" s="64">
        <v>11068738.746596999</v>
      </c>
      <c r="AJ145" s="64">
        <v>0</v>
      </c>
      <c r="AK145" s="64">
        <v>5717896.3951359605</v>
      </c>
      <c r="AL145" s="64">
        <v>5901111.3759779995</v>
      </c>
      <c r="AM145" s="64">
        <v>3612798.5854000002</v>
      </c>
      <c r="AN145" s="65">
        <v>380720.67119999998</v>
      </c>
      <c r="AO145" s="66">
        <v>729280.92427675996</v>
      </c>
      <c r="AP145" s="128">
        <f>+N145-'Приложение №2'!E154</f>
        <v>0</v>
      </c>
      <c r="AQ145" s="23">
        <v>590020.37</v>
      </c>
      <c r="AR145" s="25">
        <f t="shared" si="50"/>
        <v>148552.79999999999</v>
      </c>
      <c r="AS145" s="25">
        <f>+(K145*10+L145*20)*12*30</f>
        <v>5243040</v>
      </c>
      <c r="AT145" s="127">
        <f t="shared" si="52"/>
        <v>-3789794.2800000003</v>
      </c>
      <c r="AW145" s="63">
        <f t="shared" si="32"/>
        <v>7339250.7175320005</v>
      </c>
      <c r="AX145" s="71"/>
      <c r="AY145" s="71"/>
      <c r="AZ145" s="71"/>
      <c r="BA145" s="71"/>
      <c r="BB145" s="64">
        <v>0</v>
      </c>
      <c r="BC145" s="64"/>
      <c r="BD145" s="64"/>
      <c r="BE145" s="64">
        <v>0</v>
      </c>
      <c r="BF145" s="64">
        <v>6665001.5300000003</v>
      </c>
      <c r="BG145" s="64">
        <v>0</v>
      </c>
      <c r="BH145" s="64"/>
      <c r="BI145" s="64"/>
      <c r="BJ145" s="64"/>
      <c r="BK145" s="65"/>
      <c r="BL145" s="66">
        <v>674249.18753199989</v>
      </c>
    </row>
    <row r="146" spans="1:64" x14ac:dyDescent="0.25">
      <c r="A146" s="122">
        <f t="shared" si="47"/>
        <v>129</v>
      </c>
      <c r="B146" s="62">
        <f t="shared" si="47"/>
        <v>129</v>
      </c>
      <c r="C146" s="62" t="s">
        <v>66</v>
      </c>
      <c r="D146" s="62" t="s">
        <v>796</v>
      </c>
      <c r="E146" s="123">
        <v>1984</v>
      </c>
      <c r="F146" s="123">
        <v>1984</v>
      </c>
      <c r="G146" s="123" t="s">
        <v>43</v>
      </c>
      <c r="H146" s="123">
        <v>5</v>
      </c>
      <c r="I146" s="123">
        <v>4</v>
      </c>
      <c r="J146" s="64">
        <v>3359.4</v>
      </c>
      <c r="K146" s="64">
        <v>2391.8000000000002</v>
      </c>
      <c r="L146" s="64">
        <v>553.20000000000005</v>
      </c>
      <c r="M146" s="124">
        <v>62</v>
      </c>
      <c r="N146" s="63">
        <f t="shared" si="49"/>
        <v>7581577</v>
      </c>
      <c r="O146" s="64"/>
      <c r="P146" s="65"/>
      <c r="Q146" s="65"/>
      <c r="R146" s="65">
        <v>492779.18</v>
      </c>
      <c r="S146" s="65">
        <f>+'Приложение №2'!E155-'Приложение №1'!P146-'Приложение №1'!R146-'Приложение №1'!T146</f>
        <v>5673883.8000000007</v>
      </c>
      <c r="T146" s="64">
        <v>1414914.02</v>
      </c>
      <c r="U146" s="65">
        <f t="shared" si="48"/>
        <v>2574.3894736842103</v>
      </c>
      <c r="V146" s="65">
        <f t="shared" si="48"/>
        <v>2574.3894736842103</v>
      </c>
      <c r="W146" s="126">
        <v>2022</v>
      </c>
      <c r="X146" s="127" t="e">
        <f>+#REF!-'[1]Приложение №1'!$P1544</f>
        <v>#REF!</v>
      </c>
      <c r="Z146" s="63">
        <f t="shared" si="46"/>
        <v>24399375.708956141</v>
      </c>
      <c r="AA146" s="64">
        <v>0</v>
      </c>
      <c r="AB146" s="64">
        <v>0</v>
      </c>
      <c r="AC146" s="64">
        <v>0</v>
      </c>
      <c r="AD146" s="64">
        <v>0</v>
      </c>
      <c r="AE146" s="64">
        <v>0</v>
      </c>
      <c r="AF146" s="64"/>
      <c r="AG146" s="64">
        <v>0</v>
      </c>
      <c r="AH146" s="64">
        <v>0</v>
      </c>
      <c r="AI146" s="64">
        <v>0</v>
      </c>
      <c r="AJ146" s="64">
        <v>0</v>
      </c>
      <c r="AK146" s="64">
        <v>10229706.1</v>
      </c>
      <c r="AL146" s="64">
        <v>13577874.103206001</v>
      </c>
      <c r="AM146" s="64">
        <v>258631.32</v>
      </c>
      <c r="AN146" s="64">
        <v>39488.83</v>
      </c>
      <c r="AO146" s="66">
        <v>293675.35575013998</v>
      </c>
      <c r="AP146" s="128">
        <f>+N146-'Приложение №2'!E155</f>
        <v>0</v>
      </c>
      <c r="AQ146" s="23">
        <v>1110865.6299999999</v>
      </c>
      <c r="AR146" s="25">
        <f t="shared" si="50"/>
        <v>356816.39999999997</v>
      </c>
      <c r="AS146" s="25">
        <f>+(K146*10+L146*20)*12*30-3112059.45</f>
        <v>9481460.5500000007</v>
      </c>
      <c r="AT146" s="127">
        <f t="shared" si="52"/>
        <v>-3807576.75</v>
      </c>
      <c r="AW146" s="63">
        <f t="shared" ref="AW146:AW205" si="53">SUBTOTAL(9,AX146:BL146)</f>
        <v>7581577</v>
      </c>
      <c r="AX146" s="64">
        <v>5331233.07</v>
      </c>
      <c r="AY146" s="64"/>
      <c r="AZ146" s="64"/>
      <c r="BA146" s="64">
        <v>2162679.08</v>
      </c>
      <c r="BB146" s="64">
        <v>0</v>
      </c>
      <c r="BC146" s="64"/>
      <c r="BD146" s="64"/>
      <c r="BE146" s="64">
        <v>0</v>
      </c>
      <c r="BF146" s="64"/>
      <c r="BG146" s="64">
        <v>0</v>
      </c>
      <c r="BH146" s="64"/>
      <c r="BI146" s="71"/>
      <c r="BJ146" s="64"/>
      <c r="BK146" s="64"/>
      <c r="BL146" s="66">
        <v>87664.849999999991</v>
      </c>
    </row>
    <row r="147" spans="1:64" x14ac:dyDescent="0.25">
      <c r="A147" s="122">
        <f t="shared" ref="A147:B162" si="54">+A146+1</f>
        <v>130</v>
      </c>
      <c r="B147" s="62">
        <f t="shared" si="54"/>
        <v>130</v>
      </c>
      <c r="C147" s="62" t="s">
        <v>66</v>
      </c>
      <c r="D147" s="62" t="s">
        <v>797</v>
      </c>
      <c r="E147" s="123">
        <v>1980</v>
      </c>
      <c r="F147" s="123">
        <v>2013</v>
      </c>
      <c r="G147" s="123" t="s">
        <v>43</v>
      </c>
      <c r="H147" s="123">
        <v>5</v>
      </c>
      <c r="I147" s="123">
        <v>4</v>
      </c>
      <c r="J147" s="64">
        <v>3517.3</v>
      </c>
      <c r="K147" s="64">
        <v>2413.5</v>
      </c>
      <c r="L147" s="64">
        <v>670.3</v>
      </c>
      <c r="M147" s="124">
        <v>55</v>
      </c>
      <c r="N147" s="63">
        <f t="shared" si="49"/>
        <v>12740666.644782159</v>
      </c>
      <c r="O147" s="64"/>
      <c r="P147" s="65">
        <v>3328292.21</v>
      </c>
      <c r="Q147" s="65"/>
      <c r="R147" s="65"/>
      <c r="S147" s="65">
        <f>+'Приложение №2'!E156-'Приложение №1'!R147-P147</f>
        <v>9412374.4347821586</v>
      </c>
      <c r="T147" s="65">
        <f>+'Приложение №2'!E156-'Приложение №1'!P147-'Приложение №1'!Q147-'Приложение №1'!R147-'Приложение №1'!S147</f>
        <v>0</v>
      </c>
      <c r="U147" s="65">
        <f t="shared" si="48"/>
        <v>4131.4827955062456</v>
      </c>
      <c r="V147" s="65">
        <f t="shared" si="48"/>
        <v>4131.4827955062456</v>
      </c>
      <c r="W147" s="126">
        <v>2022</v>
      </c>
      <c r="X147" s="127" t="e">
        <f>+#REF!-'[1]Приложение №1'!$P794</f>
        <v>#REF!</v>
      </c>
      <c r="Y147" s="23" t="s">
        <v>88</v>
      </c>
      <c r="Z147" s="63">
        <f t="shared" si="46"/>
        <v>14492948.68038216</v>
      </c>
      <c r="AA147" s="64">
        <v>0</v>
      </c>
      <c r="AB147" s="64">
        <v>0</v>
      </c>
      <c r="AC147" s="64"/>
      <c r="AD147" s="64">
        <v>0</v>
      </c>
      <c r="AE147" s="64">
        <v>0</v>
      </c>
      <c r="AF147" s="64"/>
      <c r="AG147" s="64">
        <v>0</v>
      </c>
      <c r="AH147" s="64">
        <v>0</v>
      </c>
      <c r="AI147" s="64">
        <v>0</v>
      </c>
      <c r="AJ147" s="64">
        <v>0</v>
      </c>
      <c r="AK147" s="64">
        <v>13313168.82</v>
      </c>
      <c r="AL147" s="64">
        <v>0</v>
      </c>
      <c r="AM147" s="64">
        <v>947969.25600000005</v>
      </c>
      <c r="AN147" s="65">
        <v>59182.779600000002</v>
      </c>
      <c r="AO147" s="66">
        <v>172627.82478215999</v>
      </c>
      <c r="AP147" s="128">
        <f>+N147-'Приложение №2'!E156</f>
        <v>0</v>
      </c>
      <c r="AQ147" s="23">
        <v>1112557.28</v>
      </c>
      <c r="AR147" s="25">
        <f t="shared" si="50"/>
        <v>382918.2</v>
      </c>
      <c r="AS147" s="25">
        <f>+(K147*10+L147*20)*12*30-2158139.11-363880.66</f>
        <v>10992740.23</v>
      </c>
      <c r="AT147" s="127">
        <f t="shared" si="52"/>
        <v>-1580365.7952178419</v>
      </c>
      <c r="AW147" s="63">
        <f t="shared" si="53"/>
        <v>12740666.644782159</v>
      </c>
      <c r="AX147" s="64">
        <v>0</v>
      </c>
      <c r="AY147" s="64">
        <v>0</v>
      </c>
      <c r="AZ147" s="64"/>
      <c r="BA147" s="64">
        <v>0</v>
      </c>
      <c r="BB147" s="64">
        <v>0</v>
      </c>
      <c r="BC147" s="64"/>
      <c r="BD147" s="64"/>
      <c r="BE147" s="64">
        <v>0</v>
      </c>
      <c r="BF147" s="64">
        <v>0</v>
      </c>
      <c r="BG147" s="64">
        <v>0</v>
      </c>
      <c r="BH147" s="64">
        <v>12568038.82</v>
      </c>
      <c r="BI147" s="64">
        <v>0</v>
      </c>
      <c r="BJ147" s="64"/>
      <c r="BK147" s="65"/>
      <c r="BL147" s="66">
        <v>172627.82478215999</v>
      </c>
    </row>
    <row r="148" spans="1:64" x14ac:dyDescent="0.25">
      <c r="A148" s="122">
        <f t="shared" si="54"/>
        <v>131</v>
      </c>
      <c r="B148" s="62">
        <f t="shared" si="54"/>
        <v>131</v>
      </c>
      <c r="C148" s="62" t="s">
        <v>45</v>
      </c>
      <c r="D148" s="62" t="s">
        <v>404</v>
      </c>
      <c r="E148" s="123">
        <v>1964</v>
      </c>
      <c r="F148" s="123">
        <v>1964</v>
      </c>
      <c r="G148" s="123" t="s">
        <v>43</v>
      </c>
      <c r="H148" s="123">
        <v>3</v>
      </c>
      <c r="I148" s="123">
        <v>3</v>
      </c>
      <c r="J148" s="64">
        <v>977.7</v>
      </c>
      <c r="K148" s="64">
        <v>824.1</v>
      </c>
      <c r="L148" s="64">
        <v>81.5</v>
      </c>
      <c r="M148" s="124">
        <v>40</v>
      </c>
      <c r="N148" s="63">
        <f t="shared" si="49"/>
        <v>275546.21000000002</v>
      </c>
      <c r="O148" s="64"/>
      <c r="P148" s="65"/>
      <c r="Q148" s="65"/>
      <c r="R148" s="65">
        <v>204954.46</v>
      </c>
      <c r="S148" s="65">
        <v>70591.750000000029</v>
      </c>
      <c r="T148" s="64">
        <f>+'Приложение №2'!E157-'Приложение №1'!P148-'Приложение №1'!Q148-'Приложение №1'!R148-'Приложение №1'!S148</f>
        <v>0</v>
      </c>
      <c r="U148" s="65">
        <f t="shared" si="48"/>
        <v>304.26922482332157</v>
      </c>
      <c r="V148" s="65">
        <f t="shared" si="48"/>
        <v>304.26922482332157</v>
      </c>
      <c r="W148" s="126">
        <v>2022</v>
      </c>
      <c r="X148" s="127" t="e">
        <f>+#REF!-'[1]Приложение №1'!$P344</f>
        <v>#REF!</v>
      </c>
      <c r="Z148" s="63">
        <f t="shared" si="46"/>
        <v>8343290.9400000013</v>
      </c>
      <c r="AA148" s="64">
        <v>0</v>
      </c>
      <c r="AB148" s="64">
        <v>0</v>
      </c>
      <c r="AC148" s="64">
        <v>0</v>
      </c>
      <c r="AD148" s="64">
        <v>0</v>
      </c>
      <c r="AE148" s="64">
        <v>0</v>
      </c>
      <c r="AF148" s="64"/>
      <c r="AG148" s="64">
        <v>0</v>
      </c>
      <c r="AH148" s="64">
        <v>0</v>
      </c>
      <c r="AI148" s="64">
        <v>0</v>
      </c>
      <c r="AJ148" s="64">
        <v>0</v>
      </c>
      <c r="AK148" s="64">
        <v>0</v>
      </c>
      <c r="AL148" s="64">
        <v>7266622.6173567604</v>
      </c>
      <c r="AM148" s="64">
        <v>834329.09400000004</v>
      </c>
      <c r="AN148" s="65">
        <v>83432.909400000004</v>
      </c>
      <c r="AO148" s="66">
        <v>158906.31924324002</v>
      </c>
      <c r="AP148" s="128">
        <f>+N148-'Приложение №2'!E157</f>
        <v>0</v>
      </c>
      <c r="AQ148" s="23">
        <f>314113.02-85397.7</f>
        <v>228715.32</v>
      </c>
      <c r="AR148" s="25">
        <f t="shared" si="50"/>
        <v>100684.2</v>
      </c>
      <c r="AS148" s="25">
        <f>+(K148*10+L148*20)*12*30</f>
        <v>3553560</v>
      </c>
      <c r="AT148" s="127">
        <f t="shared" si="52"/>
        <v>-3482968.25</v>
      </c>
      <c r="AW148" s="63">
        <f t="shared" si="53"/>
        <v>275546.21000000002</v>
      </c>
      <c r="AX148" s="64">
        <v>0</v>
      </c>
      <c r="AY148" s="64">
        <v>0</v>
      </c>
      <c r="AZ148" s="64">
        <v>0</v>
      </c>
      <c r="BA148" s="64">
        <v>0</v>
      </c>
      <c r="BB148" s="64">
        <v>0</v>
      </c>
      <c r="BC148" s="64"/>
      <c r="BD148" s="64"/>
      <c r="BE148" s="64">
        <v>0</v>
      </c>
      <c r="BF148" s="64">
        <v>0</v>
      </c>
      <c r="BG148" s="64">
        <v>0</v>
      </c>
      <c r="BH148" s="64">
        <v>0</v>
      </c>
      <c r="BI148" s="64">
        <v>275546.21000000002</v>
      </c>
      <c r="BJ148" s="64"/>
      <c r="BK148" s="65"/>
      <c r="BL148" s="66"/>
    </row>
    <row r="149" spans="1:64" x14ac:dyDescent="0.25">
      <c r="A149" s="122">
        <f t="shared" si="54"/>
        <v>132</v>
      </c>
      <c r="B149" s="62">
        <f t="shared" si="54"/>
        <v>132</v>
      </c>
      <c r="C149" s="62" t="s">
        <v>45</v>
      </c>
      <c r="D149" s="62" t="s">
        <v>819</v>
      </c>
      <c r="E149" s="123">
        <v>1973</v>
      </c>
      <c r="F149" s="123">
        <v>1973</v>
      </c>
      <c r="G149" s="123" t="s">
        <v>43</v>
      </c>
      <c r="H149" s="123">
        <v>4</v>
      </c>
      <c r="I149" s="123">
        <v>3</v>
      </c>
      <c r="J149" s="64">
        <v>1399</v>
      </c>
      <c r="K149" s="64">
        <v>1081.5999999999999</v>
      </c>
      <c r="L149" s="64">
        <v>197.9</v>
      </c>
      <c r="M149" s="124">
        <v>41</v>
      </c>
      <c r="N149" s="63">
        <f t="shared" si="49"/>
        <v>2485206.75</v>
      </c>
      <c r="O149" s="64"/>
      <c r="P149" s="65">
        <v>404178.60000000009</v>
      </c>
      <c r="Q149" s="65"/>
      <c r="R149" s="65">
        <v>325425.82</v>
      </c>
      <c r="S149" s="65">
        <v>1755602.33</v>
      </c>
      <c r="T149" s="64">
        <f>+'Приложение №2'!E158-'Приложение №1'!P149-'Приложение №1'!Q149-'Приложение №1'!R149-'Приложение №1'!S149</f>
        <v>0</v>
      </c>
      <c r="U149" s="65">
        <f t="shared" si="48"/>
        <v>1942.3264947245018</v>
      </c>
      <c r="V149" s="65">
        <f t="shared" si="48"/>
        <v>1942.3264947245018</v>
      </c>
      <c r="W149" s="126">
        <v>2022</v>
      </c>
      <c r="X149" s="127" t="e">
        <f>+#REF!-'[1]Приложение №1'!$P345</f>
        <v>#REF!</v>
      </c>
      <c r="Z149" s="63">
        <f t="shared" si="46"/>
        <v>11828796.82</v>
      </c>
      <c r="AA149" s="64">
        <v>0</v>
      </c>
      <c r="AB149" s="64">
        <v>0</v>
      </c>
      <c r="AC149" s="64">
        <v>0</v>
      </c>
      <c r="AD149" s="64">
        <v>0</v>
      </c>
      <c r="AE149" s="64">
        <v>0</v>
      </c>
      <c r="AF149" s="64"/>
      <c r="AG149" s="64">
        <v>0</v>
      </c>
      <c r="AH149" s="64">
        <v>0</v>
      </c>
      <c r="AI149" s="64">
        <v>6651371.2383216005</v>
      </c>
      <c r="AJ149" s="64">
        <v>0</v>
      </c>
      <c r="AK149" s="64">
        <v>0</v>
      </c>
      <c r="AL149" s="64">
        <v>3724870.7921149204</v>
      </c>
      <c r="AM149" s="64">
        <v>1107359.4236000001</v>
      </c>
      <c r="AN149" s="65">
        <v>118287.9682</v>
      </c>
      <c r="AO149" s="66">
        <v>226907.39776348002</v>
      </c>
      <c r="AP149" s="128">
        <f>+N149-'Приложение №2'!E158</f>
        <v>0</v>
      </c>
      <c r="AQ149" s="23">
        <f>414772.6-182047.66</f>
        <v>232724.93999999997</v>
      </c>
      <c r="AR149" s="25">
        <f t="shared" si="50"/>
        <v>150694.79999999999</v>
      </c>
      <c r="AS149" s="25">
        <f>+(K149*10+L149*20)*12*30</f>
        <v>5318640</v>
      </c>
      <c r="AT149" s="127">
        <f t="shared" si="52"/>
        <v>-3563037.67</v>
      </c>
      <c r="AW149" s="63">
        <f t="shared" si="53"/>
        <v>2485206.7500000005</v>
      </c>
      <c r="AX149" s="64">
        <v>0</v>
      </c>
      <c r="AY149" s="64">
        <v>0</v>
      </c>
      <c r="AZ149" s="64">
        <v>0</v>
      </c>
      <c r="BA149" s="64">
        <v>0</v>
      </c>
      <c r="BB149" s="64">
        <v>0</v>
      </c>
      <c r="BC149" s="64"/>
      <c r="BD149" s="64"/>
      <c r="BE149" s="64">
        <v>0</v>
      </c>
      <c r="BF149" s="64">
        <v>1968122.3400000003</v>
      </c>
      <c r="BG149" s="64">
        <v>0</v>
      </c>
      <c r="BH149" s="64">
        <v>0</v>
      </c>
      <c r="BI149" s="64">
        <v>517084.41000000003</v>
      </c>
      <c r="BJ149" s="64"/>
      <c r="BK149" s="65"/>
      <c r="BL149" s="66"/>
    </row>
    <row r="150" spans="1:64" x14ac:dyDescent="0.25">
      <c r="A150" s="122">
        <f t="shared" si="54"/>
        <v>133</v>
      </c>
      <c r="B150" s="62">
        <f t="shared" si="54"/>
        <v>133</v>
      </c>
      <c r="C150" s="62" t="s">
        <v>45</v>
      </c>
      <c r="D150" s="62" t="s">
        <v>823</v>
      </c>
      <c r="E150" s="123">
        <v>1969</v>
      </c>
      <c r="F150" s="123">
        <v>1969</v>
      </c>
      <c r="G150" s="123" t="s">
        <v>43</v>
      </c>
      <c r="H150" s="123">
        <v>4</v>
      </c>
      <c r="I150" s="123">
        <v>4</v>
      </c>
      <c r="J150" s="64">
        <v>1301.0999999999999</v>
      </c>
      <c r="K150" s="64">
        <v>1206.0999999999999</v>
      </c>
      <c r="L150" s="64">
        <v>0</v>
      </c>
      <c r="M150" s="124">
        <v>55</v>
      </c>
      <c r="N150" s="63">
        <f t="shared" si="49"/>
        <v>1052989.615364</v>
      </c>
      <c r="O150" s="64"/>
      <c r="P150" s="65">
        <v>48024.160000000003</v>
      </c>
      <c r="Q150" s="65"/>
      <c r="R150" s="65"/>
      <c r="S150" s="65">
        <f>+'Приложение №2'!E159-'Приложение №1'!P150</f>
        <v>1004965.4553639999</v>
      </c>
      <c r="T150" s="64"/>
      <c r="U150" s="65">
        <f t="shared" si="48"/>
        <v>873.05332506757316</v>
      </c>
      <c r="V150" s="65">
        <f t="shared" si="48"/>
        <v>873.05332506757316</v>
      </c>
      <c r="W150" s="126">
        <v>2022</v>
      </c>
      <c r="X150" s="127" t="e">
        <f>+#REF!-'[1]Приложение №1'!$P1171</f>
        <v>#REF!</v>
      </c>
      <c r="Z150" s="63">
        <f t="shared" si="46"/>
        <v>20711430.510000002</v>
      </c>
      <c r="AA150" s="64">
        <v>3099206.3677902599</v>
      </c>
      <c r="AB150" s="64">
        <v>1118078.6011840198</v>
      </c>
      <c r="AC150" s="64">
        <v>1168117.9829516402</v>
      </c>
      <c r="AD150" s="64">
        <v>731341.61352924001</v>
      </c>
      <c r="AE150" s="64">
        <v>0</v>
      </c>
      <c r="AF150" s="64"/>
      <c r="AG150" s="64">
        <v>111818.98213248001</v>
      </c>
      <c r="AH150" s="64">
        <v>0</v>
      </c>
      <c r="AI150" s="64">
        <v>5736153.9664296005</v>
      </c>
      <c r="AJ150" s="64">
        <v>0</v>
      </c>
      <c r="AK150" s="64">
        <v>2978257.4163942602</v>
      </c>
      <c r="AL150" s="64">
        <v>3212334.9611770199</v>
      </c>
      <c r="AM150" s="64">
        <v>1951986.4567</v>
      </c>
      <c r="AN150" s="65">
        <v>207114.30510000003</v>
      </c>
      <c r="AO150" s="66">
        <v>397019.85661148006</v>
      </c>
      <c r="AP150" s="128">
        <f>+N150-'Приложение №2'!E159</f>
        <v>0</v>
      </c>
      <c r="AQ150" s="23">
        <v>468456.03</v>
      </c>
      <c r="AR150" s="25">
        <f t="shared" si="50"/>
        <v>123022.2</v>
      </c>
      <c r="AS150" s="25">
        <f>+(K150*10+L150*20)*12*30-171359.03</f>
        <v>4170600.97</v>
      </c>
      <c r="AT150" s="127">
        <f t="shared" si="52"/>
        <v>-3165635.5146360002</v>
      </c>
      <c r="AW150" s="63">
        <f t="shared" si="53"/>
        <v>1052989.615364</v>
      </c>
      <c r="AX150" s="64"/>
      <c r="AY150" s="64">
        <v>624846.18000000005</v>
      </c>
      <c r="AZ150" s="64"/>
      <c r="BA150" s="64">
        <v>317481.74</v>
      </c>
      <c r="BB150" s="64">
        <v>0</v>
      </c>
      <c r="BC150" s="64"/>
      <c r="BD150" s="64"/>
      <c r="BE150" s="64">
        <v>0</v>
      </c>
      <c r="BF150" s="64"/>
      <c r="BG150" s="64">
        <v>0</v>
      </c>
      <c r="BH150" s="64"/>
      <c r="BI150" s="64"/>
      <c r="BJ150" s="64"/>
      <c r="BK150" s="65"/>
      <c r="BL150" s="66">
        <v>110661.69536400001</v>
      </c>
    </row>
    <row r="151" spans="1:64" x14ac:dyDescent="0.25">
      <c r="A151" s="122">
        <f t="shared" si="54"/>
        <v>134</v>
      </c>
      <c r="B151" s="62">
        <f t="shared" si="54"/>
        <v>134</v>
      </c>
      <c r="C151" s="62" t="s">
        <v>45</v>
      </c>
      <c r="D151" s="62" t="s">
        <v>817</v>
      </c>
      <c r="E151" s="123">
        <v>1974</v>
      </c>
      <c r="F151" s="123">
        <v>1974</v>
      </c>
      <c r="G151" s="123" t="s">
        <v>43</v>
      </c>
      <c r="H151" s="123">
        <v>4</v>
      </c>
      <c r="I151" s="123">
        <v>3</v>
      </c>
      <c r="J151" s="64">
        <v>1380.9</v>
      </c>
      <c r="K151" s="64">
        <v>1261.0999999999999</v>
      </c>
      <c r="L151" s="64">
        <v>0</v>
      </c>
      <c r="M151" s="124">
        <v>43</v>
      </c>
      <c r="N151" s="63">
        <f t="shared" si="49"/>
        <v>1332134.6908183601</v>
      </c>
      <c r="O151" s="64"/>
      <c r="P151" s="65"/>
      <c r="Q151" s="65"/>
      <c r="R151" s="65">
        <f>+AQ151+AR151</f>
        <v>641924.76</v>
      </c>
      <c r="S151" s="65">
        <f>+'Приложение №2'!E160-'Приложение №1'!P151-'Приложение №1'!Q151-'Приложение №1'!R151</f>
        <v>690209.93081836007</v>
      </c>
      <c r="T151" s="64">
        <f>+'Приложение №2'!E160-'Приложение №1'!P151-'Приложение №1'!Q151-'Приложение №1'!R151-'Приложение №1'!S151</f>
        <v>0</v>
      </c>
      <c r="U151" s="65">
        <f t="shared" si="48"/>
        <v>1056.3275638873683</v>
      </c>
      <c r="V151" s="65">
        <f t="shared" si="48"/>
        <v>1056.3275638873683</v>
      </c>
      <c r="W151" s="126">
        <v>2022</v>
      </c>
      <c r="X151" s="127" t="e">
        <f>+#REF!-'[1]Приложение №1'!$P1177</f>
        <v>#REF!</v>
      </c>
      <c r="Z151" s="63">
        <f t="shared" si="46"/>
        <v>24082184.68</v>
      </c>
      <c r="AA151" s="64">
        <v>3459603.0948952204</v>
      </c>
      <c r="AB151" s="64">
        <v>1248096.36492156</v>
      </c>
      <c r="AC151" s="64">
        <v>1303954.6600395001</v>
      </c>
      <c r="AD151" s="64">
        <v>816386.97648732003</v>
      </c>
      <c r="AE151" s="64">
        <v>0</v>
      </c>
      <c r="AF151" s="64"/>
      <c r="AG151" s="64">
        <v>124822.049583</v>
      </c>
      <c r="AH151" s="64">
        <v>0</v>
      </c>
      <c r="AI151" s="64">
        <v>6403192.8421985991</v>
      </c>
      <c r="AJ151" s="64">
        <v>838109.10532439989</v>
      </c>
      <c r="AK151" s="64">
        <v>3324589.38292698</v>
      </c>
      <c r="AL151" s="64">
        <v>3585887.05339116</v>
      </c>
      <c r="AM151" s="64">
        <v>2275205.5373000004</v>
      </c>
      <c r="AN151" s="65">
        <v>240821.8468</v>
      </c>
      <c r="AO151" s="66">
        <v>461515.76613225997</v>
      </c>
      <c r="AP151" s="128">
        <f>+N151-'Приложение №2'!E160</f>
        <v>0</v>
      </c>
      <c r="AQ151" s="23">
        <v>513292.56</v>
      </c>
      <c r="AR151" s="25">
        <f t="shared" si="50"/>
        <v>128632.2</v>
      </c>
      <c r="AS151" s="25">
        <f>+(K151*10+L151*20)*12*30</f>
        <v>4539960</v>
      </c>
      <c r="AT151" s="127">
        <f t="shared" si="52"/>
        <v>-3849750.0691816397</v>
      </c>
      <c r="AW151" s="63">
        <f t="shared" si="53"/>
        <v>1332134.6908183601</v>
      </c>
      <c r="AX151" s="64"/>
      <c r="AY151" s="64">
        <v>691727.99</v>
      </c>
      <c r="AZ151" s="64"/>
      <c r="BA151" s="64">
        <v>374090.08</v>
      </c>
      <c r="BB151" s="64">
        <v>0</v>
      </c>
      <c r="BC151" s="64"/>
      <c r="BD151" s="64"/>
      <c r="BE151" s="64">
        <v>0</v>
      </c>
      <c r="BF151" s="64"/>
      <c r="BG151" s="64"/>
      <c r="BH151" s="64"/>
      <c r="BI151" s="71"/>
      <c r="BJ151" s="64"/>
      <c r="BK151" s="65"/>
      <c r="BL151" s="66">
        <v>266316.62081835995</v>
      </c>
    </row>
    <row r="152" spans="1:64" x14ac:dyDescent="0.25">
      <c r="A152" s="122">
        <f t="shared" si="54"/>
        <v>135</v>
      </c>
      <c r="B152" s="62">
        <f t="shared" si="54"/>
        <v>135</v>
      </c>
      <c r="C152" s="62" t="s">
        <v>45</v>
      </c>
      <c r="D152" s="62" t="s">
        <v>818</v>
      </c>
      <c r="E152" s="123">
        <v>1962</v>
      </c>
      <c r="F152" s="123">
        <v>1962</v>
      </c>
      <c r="G152" s="123" t="s">
        <v>43</v>
      </c>
      <c r="H152" s="123">
        <v>3</v>
      </c>
      <c r="I152" s="123">
        <v>2</v>
      </c>
      <c r="J152" s="64">
        <v>937.1</v>
      </c>
      <c r="K152" s="64">
        <v>723.7</v>
      </c>
      <c r="L152" s="64">
        <v>213.4</v>
      </c>
      <c r="M152" s="124">
        <v>26</v>
      </c>
      <c r="N152" s="63">
        <f t="shared" si="49"/>
        <v>1168589.4982480002</v>
      </c>
      <c r="O152" s="64"/>
      <c r="P152" s="65">
        <v>83339.016051200218</v>
      </c>
      <c r="Q152" s="65"/>
      <c r="R152" s="65">
        <f>+AQ152+AR152</f>
        <v>193257.44</v>
      </c>
      <c r="S152" s="65">
        <f>+'Приложение №2'!E161-'Приложение №1'!P152-'Приложение №1'!Q152-'Приложение №1'!R152</f>
        <v>891993.0421968</v>
      </c>
      <c r="T152" s="64">
        <f>+'Приложение №2'!E161-'Приложение №1'!P152-'Приложение №1'!Q152-'Приложение №1'!R152-'Приложение №1'!S152</f>
        <v>0</v>
      </c>
      <c r="U152" s="65">
        <f t="shared" si="48"/>
        <v>1247.027529877281</v>
      </c>
      <c r="V152" s="65">
        <f t="shared" si="48"/>
        <v>1247.027529877281</v>
      </c>
      <c r="W152" s="126">
        <v>2022</v>
      </c>
      <c r="X152" s="127" t="e">
        <f>+#REF!-'[1]Приложение №1'!$P1178</f>
        <v>#REF!</v>
      </c>
      <c r="Z152" s="63">
        <f t="shared" si="46"/>
        <v>26675784</v>
      </c>
      <c r="AA152" s="64">
        <v>2404073.9634912</v>
      </c>
      <c r="AB152" s="64">
        <v>1462843.1901888</v>
      </c>
      <c r="AC152" s="64">
        <v>689312.71110239998</v>
      </c>
      <c r="AD152" s="64">
        <v>587431.31489280006</v>
      </c>
      <c r="AE152" s="64">
        <v>0</v>
      </c>
      <c r="AF152" s="64"/>
      <c r="AG152" s="64">
        <v>227878.8628032</v>
      </c>
      <c r="AH152" s="64">
        <v>0</v>
      </c>
      <c r="AI152" s="64">
        <v>6954572.4655679995</v>
      </c>
      <c r="AJ152" s="64">
        <v>0</v>
      </c>
      <c r="AK152" s="64">
        <v>5686511.6200032001</v>
      </c>
      <c r="AL152" s="64">
        <v>5351302.3282992002</v>
      </c>
      <c r="AM152" s="64">
        <v>2534177.952</v>
      </c>
      <c r="AN152" s="65">
        <v>266757.84000000003</v>
      </c>
      <c r="AO152" s="66">
        <v>510921.75165120006</v>
      </c>
      <c r="AP152" s="128">
        <f>+N152-'Приложение №2'!E161</f>
        <v>0</v>
      </c>
      <c r="AQ152" s="23">
        <f>294416.56-218510.12</f>
        <v>75906.44</v>
      </c>
      <c r="AR152" s="25">
        <f t="shared" si="50"/>
        <v>117351</v>
      </c>
      <c r="AS152" s="25">
        <f>+(K152*10+L152*20)*12*30</f>
        <v>4141800</v>
      </c>
      <c r="AT152" s="127">
        <f t="shared" si="52"/>
        <v>-3249806.9578032</v>
      </c>
      <c r="AW152" s="63">
        <f t="shared" si="53"/>
        <v>1168589.4982480002</v>
      </c>
      <c r="AX152" s="64"/>
      <c r="AY152" s="64">
        <v>552436.80000000005</v>
      </c>
      <c r="AZ152" s="64"/>
      <c r="BA152" s="64">
        <v>297229.53999999998</v>
      </c>
      <c r="BB152" s="64">
        <v>0</v>
      </c>
      <c r="BC152" s="64"/>
      <c r="BD152" s="64"/>
      <c r="BE152" s="64">
        <v>0</v>
      </c>
      <c r="BF152" s="64"/>
      <c r="BG152" s="64">
        <v>0</v>
      </c>
      <c r="BH152" s="64"/>
      <c r="BI152" s="71"/>
      <c r="BJ152" s="64"/>
      <c r="BK152" s="65"/>
      <c r="BL152" s="66">
        <v>318923.15824800002</v>
      </c>
    </row>
    <row r="153" spans="1:64" x14ac:dyDescent="0.25">
      <c r="A153" s="122">
        <f t="shared" si="54"/>
        <v>136</v>
      </c>
      <c r="B153" s="62">
        <f t="shared" si="54"/>
        <v>136</v>
      </c>
      <c r="C153" s="62" t="s">
        <v>46</v>
      </c>
      <c r="D153" s="62" t="s">
        <v>1053</v>
      </c>
      <c r="E153" s="123">
        <v>1993</v>
      </c>
      <c r="F153" s="123">
        <v>2015</v>
      </c>
      <c r="G153" s="123" t="s">
        <v>43</v>
      </c>
      <c r="H153" s="123">
        <v>4</v>
      </c>
      <c r="I153" s="123">
        <v>2</v>
      </c>
      <c r="J153" s="64">
        <v>2573</v>
      </c>
      <c r="K153" s="64">
        <v>2088.4</v>
      </c>
      <c r="L153" s="64">
        <v>299.89999999999998</v>
      </c>
      <c r="M153" s="124">
        <v>79</v>
      </c>
      <c r="N153" s="63">
        <f t="shared" si="49"/>
        <v>2714987.2110886802</v>
      </c>
      <c r="O153" s="64"/>
      <c r="P153" s="65"/>
      <c r="Q153" s="65"/>
      <c r="R153" s="65">
        <f>+AQ153+AR153</f>
        <v>897791.1399999999</v>
      </c>
      <c r="S153" s="65">
        <f>+'Приложение №2'!E162-'Приложение №1'!P153-'Приложение №1'!Q153-'Приложение №1'!R153</f>
        <v>1817196.0710886803</v>
      </c>
      <c r="T153" s="64">
        <f>+'Приложение №2'!E162-'Приложение №1'!P153-'Приложение №1'!Q153-'Приложение №1'!R153-'Приложение №1'!S153</f>
        <v>0</v>
      </c>
      <c r="U153" s="65">
        <f t="shared" si="48"/>
        <v>1136.7865055012687</v>
      </c>
      <c r="V153" s="65">
        <f t="shared" si="48"/>
        <v>1136.7865055012687</v>
      </c>
      <c r="W153" s="126">
        <v>2022</v>
      </c>
      <c r="X153" s="127" t="e">
        <f>+#REF!-'[1]Приложение №1'!$P818</f>
        <v>#REF!</v>
      </c>
      <c r="Y153" s="23" t="s">
        <v>86</v>
      </c>
      <c r="Z153" s="63">
        <f t="shared" si="46"/>
        <v>18343019.5</v>
      </c>
      <c r="AA153" s="64">
        <v>6746829.5476327194</v>
      </c>
      <c r="AB153" s="64">
        <v>0</v>
      </c>
      <c r="AC153" s="64">
        <v>2584833.4548157803</v>
      </c>
      <c r="AD153" s="64">
        <v>0</v>
      </c>
      <c r="AE153" s="64">
        <v>0</v>
      </c>
      <c r="AF153" s="64"/>
      <c r="AG153" s="64">
        <v>222731.80747859998</v>
      </c>
      <c r="AH153" s="64">
        <v>0</v>
      </c>
      <c r="AI153" s="64">
        <v>0</v>
      </c>
      <c r="AJ153" s="64">
        <v>0</v>
      </c>
      <c r="AK153" s="64">
        <v>6590268.3256670404</v>
      </c>
      <c r="AL153" s="64">
        <v>0</v>
      </c>
      <c r="AM153" s="64">
        <v>1661875.0851000003</v>
      </c>
      <c r="AN153" s="65">
        <v>183430.19500000001</v>
      </c>
      <c r="AO153" s="66">
        <v>353051.08430586004</v>
      </c>
      <c r="AP153" s="128">
        <f>+N153-'Приложение №2'!E162</f>
        <v>0</v>
      </c>
      <c r="AQ153" s="23">
        <f>1272443.19-648848.45</f>
        <v>623594.74</v>
      </c>
      <c r="AR153" s="25">
        <f t="shared" si="50"/>
        <v>274196.39999999997</v>
      </c>
      <c r="AS153" s="25">
        <f>+(K153*10+L153*20)*12*30-5206204.7</f>
        <v>4471315.3</v>
      </c>
      <c r="AT153" s="127">
        <f t="shared" si="52"/>
        <v>-2654119.2289113197</v>
      </c>
      <c r="AW153" s="63">
        <f t="shared" si="53"/>
        <v>2714987.2110886802</v>
      </c>
      <c r="AX153" s="64">
        <v>2562577.02</v>
      </c>
      <c r="AY153" s="64">
        <v>0</v>
      </c>
      <c r="AZ153" s="64"/>
      <c r="BA153" s="64">
        <v>0</v>
      </c>
      <c r="BB153" s="64">
        <v>0</v>
      </c>
      <c r="BC153" s="64"/>
      <c r="BD153" s="64"/>
      <c r="BE153" s="64">
        <v>0</v>
      </c>
      <c r="BF153" s="64">
        <v>0</v>
      </c>
      <c r="BG153" s="64">
        <v>0</v>
      </c>
      <c r="BH153" s="64"/>
      <c r="BI153" s="64">
        <v>0</v>
      </c>
      <c r="BJ153" s="64"/>
      <c r="BK153" s="65"/>
      <c r="BL153" s="66">
        <v>152410.19108868</v>
      </c>
    </row>
    <row r="154" spans="1:64" x14ac:dyDescent="0.25">
      <c r="A154" s="122">
        <f t="shared" si="54"/>
        <v>137</v>
      </c>
      <c r="B154" s="62">
        <f t="shared" si="54"/>
        <v>137</v>
      </c>
      <c r="C154" s="62" t="s">
        <v>46</v>
      </c>
      <c r="D154" s="62" t="s">
        <v>1054</v>
      </c>
      <c r="E154" s="123">
        <v>1989</v>
      </c>
      <c r="F154" s="123">
        <v>2014</v>
      </c>
      <c r="G154" s="123" t="s">
        <v>43</v>
      </c>
      <c r="H154" s="123">
        <v>9</v>
      </c>
      <c r="I154" s="123">
        <v>3</v>
      </c>
      <c r="J154" s="64">
        <v>6626.1</v>
      </c>
      <c r="K154" s="64">
        <v>6102.5</v>
      </c>
      <c r="L154" s="64">
        <v>67.8</v>
      </c>
      <c r="M154" s="124">
        <v>265</v>
      </c>
      <c r="N154" s="95">
        <f t="shared" si="49"/>
        <v>49829681.060927197</v>
      </c>
      <c r="O154" s="64"/>
      <c r="P154" s="72"/>
      <c r="Q154" s="65"/>
      <c r="R154" s="65">
        <v>1277946.27</v>
      </c>
      <c r="S154" s="65">
        <f>+AS154</f>
        <v>29746469.159999996</v>
      </c>
      <c r="T154" s="65">
        <f>+'Приложение №2'!E163-'Приложение №1'!P154-'Приложение №1'!Q154-'Приложение №1'!R154-'Приложение №1'!S154</f>
        <v>18805265.630927205</v>
      </c>
      <c r="U154" s="64">
        <f t="shared" si="48"/>
        <v>8075.7306874750329</v>
      </c>
      <c r="V154" s="64">
        <f t="shared" si="48"/>
        <v>8075.7306874750329</v>
      </c>
      <c r="W154" s="126">
        <v>2022</v>
      </c>
      <c r="X154" s="127" t="e">
        <f>+#REF!-'[1]Приложение №1'!$P966</f>
        <v>#REF!</v>
      </c>
      <c r="Z154" s="63">
        <f t="shared" si="46"/>
        <v>133828117.44000001</v>
      </c>
      <c r="AA154" s="64">
        <v>13963940.488183141</v>
      </c>
      <c r="AB154" s="64">
        <v>9583521.8977096211</v>
      </c>
      <c r="AC154" s="64">
        <v>5833663.0608244799</v>
      </c>
      <c r="AD154" s="64">
        <v>5263338.7413885603</v>
      </c>
      <c r="AE154" s="64">
        <v>0</v>
      </c>
      <c r="AF154" s="64"/>
      <c r="AG154" s="64">
        <v>671777.63177280012</v>
      </c>
      <c r="AH154" s="64">
        <v>0</v>
      </c>
      <c r="AI154" s="64">
        <v>6811959.9181410009</v>
      </c>
      <c r="AJ154" s="64">
        <v>0</v>
      </c>
      <c r="AK154" s="64">
        <v>59138470.018736638</v>
      </c>
      <c r="AL154" s="64">
        <v>15552139.69889202</v>
      </c>
      <c r="AM154" s="64">
        <v>13116434.001499999</v>
      </c>
      <c r="AN154" s="65">
        <v>1338281.1743999999</v>
      </c>
      <c r="AO154" s="66">
        <v>2554590.8084517401</v>
      </c>
      <c r="AP154" s="128">
        <f>+N154-'Приложение №2'!E163</f>
        <v>0</v>
      </c>
      <c r="AQ154" s="38">
        <v>3444334.74</v>
      </c>
      <c r="AR154" s="25">
        <f>+(K154*13.29+L154*22.52)*12*0.85</f>
        <v>842816.62619999982</v>
      </c>
      <c r="AS154" s="25">
        <f>+(K154*13.29+L154*22.52)*12*30</f>
        <v>29746469.159999996</v>
      </c>
      <c r="AT154" s="127">
        <f t="shared" si="52"/>
        <v>0</v>
      </c>
      <c r="AW154" s="63">
        <f t="shared" si="53"/>
        <v>49829681.060927205</v>
      </c>
      <c r="AX154" s="64"/>
      <c r="AY154" s="64">
        <v>8054732.7000000002</v>
      </c>
      <c r="AZ154" s="64">
        <v>3326392.27</v>
      </c>
      <c r="BA154" s="64"/>
      <c r="BB154" s="64"/>
      <c r="BC154" s="64"/>
      <c r="BD154" s="64"/>
      <c r="BE154" s="64"/>
      <c r="BF154" s="64">
        <v>6383560.5599999996</v>
      </c>
      <c r="BG154" s="64">
        <v>0</v>
      </c>
      <c r="BH154" s="64">
        <v>14384597.800000001</v>
      </c>
      <c r="BI154" s="64">
        <v>14838033.07</v>
      </c>
      <c r="BJ154" s="64"/>
      <c r="BK154" s="65"/>
      <c r="BL154" s="66">
        <v>2842364.6609271998</v>
      </c>
    </row>
    <row r="155" spans="1:64" s="74" customFormat="1" x14ac:dyDescent="0.25">
      <c r="A155" s="122">
        <f t="shared" si="54"/>
        <v>138</v>
      </c>
      <c r="B155" s="62">
        <f t="shared" si="54"/>
        <v>138</v>
      </c>
      <c r="C155" s="62" t="s">
        <v>46</v>
      </c>
      <c r="D155" s="62" t="s">
        <v>835</v>
      </c>
      <c r="E155" s="123" t="s">
        <v>95</v>
      </c>
      <c r="F155" s="123"/>
      <c r="G155" s="123" t="s">
        <v>43</v>
      </c>
      <c r="H155" s="123" t="s">
        <v>97</v>
      </c>
      <c r="I155" s="123" t="s">
        <v>102</v>
      </c>
      <c r="J155" s="64">
        <v>2294.4</v>
      </c>
      <c r="K155" s="64">
        <v>2020</v>
      </c>
      <c r="L155" s="64">
        <v>0</v>
      </c>
      <c r="M155" s="124">
        <v>107</v>
      </c>
      <c r="N155" s="63">
        <f t="shared" si="49"/>
        <v>3072511.9939301223</v>
      </c>
      <c r="O155" s="64">
        <v>0</v>
      </c>
      <c r="P155" s="65"/>
      <c r="Q155" s="65">
        <v>0</v>
      </c>
      <c r="R155" s="65">
        <f>+AQ155+AR155</f>
        <v>1430983.7999999998</v>
      </c>
      <c r="S155" s="65">
        <f>+'Приложение №2'!E164-'Приложение №1'!R155</f>
        <v>1641528.1939301225</v>
      </c>
      <c r="T155" s="64">
        <f>+'Приложение №2'!E164-'Приложение №1'!P155-'Приложение №1'!Q155-'Приложение №1'!R155-'Приложение №1'!S155</f>
        <v>0</v>
      </c>
      <c r="U155" s="65">
        <f>N155/K155</f>
        <v>1521.0455415495655</v>
      </c>
      <c r="V155" s="65">
        <v>1172.2830200640003</v>
      </c>
      <c r="W155" s="126">
        <v>2022</v>
      </c>
      <c r="X155" s="74">
        <v>930783.73</v>
      </c>
      <c r="Y155" s="74">
        <f>+(K155*12.08+L155*20.47)*12</f>
        <v>292819.19999999995</v>
      </c>
      <c r="AA155" s="129">
        <f>+N155-'[5]Приложение № 2'!E146</f>
        <v>-1043457.4460698776</v>
      </c>
      <c r="AD155" s="129">
        <f>+N155-'[5]Приложение № 2'!E146</f>
        <v>-1043457.4460698776</v>
      </c>
      <c r="AP155" s="128">
        <f>+N155-'Приложение №2'!E164</f>
        <v>0</v>
      </c>
      <c r="AQ155" s="74">
        <v>1157156.6399999999</v>
      </c>
      <c r="AR155" s="25">
        <f>+(K155*13.29+L155*22.52)*12*0.85</f>
        <v>273827.15999999997</v>
      </c>
      <c r="AS155" s="25">
        <f>+(K155*13.29+L155*22.52)*12*30</f>
        <v>9664488</v>
      </c>
      <c r="AT155" s="127">
        <f t="shared" si="52"/>
        <v>-8022959.806069877</v>
      </c>
      <c r="AW155" s="63">
        <f t="shared" si="53"/>
        <v>3072511.9939301223</v>
      </c>
      <c r="AX155" s="64"/>
      <c r="AY155" s="64"/>
      <c r="AZ155" s="64"/>
      <c r="BA155" s="64"/>
      <c r="BB155" s="64"/>
      <c r="BC155" s="64"/>
      <c r="BD155" s="64"/>
      <c r="BE155" s="64">
        <v>2869496.64</v>
      </c>
      <c r="BF155" s="64"/>
      <c r="BG155" s="64"/>
      <c r="BH155" s="64"/>
      <c r="BI155" s="64"/>
      <c r="BJ155" s="64">
        <v>104919.11907839999</v>
      </c>
      <c r="BK155" s="65">
        <v>24000</v>
      </c>
      <c r="BL155" s="66">
        <v>74096.234851722242</v>
      </c>
    </row>
    <row r="156" spans="1:64" s="74" customFormat="1" x14ac:dyDescent="0.25">
      <c r="A156" s="122">
        <f t="shared" si="54"/>
        <v>139</v>
      </c>
      <c r="B156" s="62">
        <f t="shared" si="54"/>
        <v>139</v>
      </c>
      <c r="C156" s="62" t="s">
        <v>46</v>
      </c>
      <c r="D156" s="62" t="s">
        <v>836</v>
      </c>
      <c r="E156" s="123" t="s">
        <v>95</v>
      </c>
      <c r="F156" s="123"/>
      <c r="G156" s="123" t="s">
        <v>43</v>
      </c>
      <c r="H156" s="123" t="s">
        <v>97</v>
      </c>
      <c r="I156" s="123" t="s">
        <v>102</v>
      </c>
      <c r="J156" s="64">
        <v>2291.6999999999998</v>
      </c>
      <c r="K156" s="64">
        <v>2012</v>
      </c>
      <c r="L156" s="64">
        <v>65.3</v>
      </c>
      <c r="M156" s="124">
        <v>84</v>
      </c>
      <c r="N156" s="63">
        <f t="shared" si="49"/>
        <v>3072474.8899129103</v>
      </c>
      <c r="O156" s="64">
        <v>0</v>
      </c>
      <c r="P156" s="65"/>
      <c r="Q156" s="65">
        <v>0</v>
      </c>
      <c r="R156" s="65">
        <f>+AQ156+AR156</f>
        <v>1331435.4972000001</v>
      </c>
      <c r="S156" s="65">
        <f>+'Приложение №2'!E165-'Приложение №1'!R156</f>
        <v>1741039.3927129102</v>
      </c>
      <c r="T156" s="64">
        <f>+'Приложение №2'!E165-'Приложение №1'!P156-'Приложение №1'!Q156-'Приложение №1'!R156-'Приложение №1'!S156</f>
        <v>0</v>
      </c>
      <c r="U156" s="65">
        <f>N156/K156</f>
        <v>1527.074994986536</v>
      </c>
      <c r="V156" s="65">
        <v>1172.2830200640003</v>
      </c>
      <c r="W156" s="126">
        <v>2022</v>
      </c>
      <c r="X156" s="74">
        <v>879242.71</v>
      </c>
      <c r="Y156" s="74">
        <f>+(K156*12.08+L156*20.47)*12</f>
        <v>307699.81199999998</v>
      </c>
      <c r="AA156" s="129">
        <f>+N156-'[5]Приложение № 2'!E147</f>
        <v>-380788.34008708922</v>
      </c>
      <c r="AD156" s="129">
        <f>+N156-'[5]Приложение № 2'!E147</f>
        <v>-380788.34008708922</v>
      </c>
      <c r="AP156" s="128">
        <f>+N156-'Приложение №2'!E165</f>
        <v>0</v>
      </c>
      <c r="AQ156" s="74">
        <v>1043693.13</v>
      </c>
      <c r="AR156" s="25">
        <f>+(K156*13.29+L156*22.52)*12*0.85</f>
        <v>287742.36720000004</v>
      </c>
      <c r="AS156" s="25">
        <f>+(K156*13.29+L156*22.52)*12*30</f>
        <v>10155612.960000001</v>
      </c>
      <c r="AT156" s="127">
        <f t="shared" si="52"/>
        <v>-8414573.5672870912</v>
      </c>
      <c r="AW156" s="63">
        <f t="shared" si="53"/>
        <v>3072474.8799129105</v>
      </c>
      <c r="AX156" s="64"/>
      <c r="AY156" s="64"/>
      <c r="AZ156" s="64"/>
      <c r="BA156" s="64"/>
      <c r="BB156" s="64"/>
      <c r="BC156" s="64"/>
      <c r="BD156" s="64"/>
      <c r="BE156" s="64">
        <v>2869496.64</v>
      </c>
      <c r="BF156" s="64"/>
      <c r="BG156" s="64"/>
      <c r="BH156" s="64"/>
      <c r="BI156" s="64"/>
      <c r="BJ156" s="64">
        <v>104881.19345280001</v>
      </c>
      <c r="BK156" s="65">
        <v>24000</v>
      </c>
      <c r="BL156" s="66">
        <v>74097.046460110083</v>
      </c>
    </row>
    <row r="157" spans="1:64" s="74" customFormat="1" x14ac:dyDescent="0.25">
      <c r="A157" s="122">
        <f t="shared" si="54"/>
        <v>140</v>
      </c>
      <c r="B157" s="62">
        <f t="shared" si="54"/>
        <v>140</v>
      </c>
      <c r="C157" s="62" t="s">
        <v>46</v>
      </c>
      <c r="D157" s="62" t="s">
        <v>837</v>
      </c>
      <c r="E157" s="123" t="s">
        <v>103</v>
      </c>
      <c r="F157" s="123"/>
      <c r="G157" s="123" t="s">
        <v>43</v>
      </c>
      <c r="H157" s="123" t="s">
        <v>97</v>
      </c>
      <c r="I157" s="123" t="s">
        <v>102</v>
      </c>
      <c r="J157" s="64">
        <v>2263.9</v>
      </c>
      <c r="K157" s="64">
        <v>2004.44</v>
      </c>
      <c r="L157" s="64">
        <v>0</v>
      </c>
      <c r="M157" s="124">
        <v>82</v>
      </c>
      <c r="N157" s="63">
        <f t="shared" si="49"/>
        <v>3072835.2361071859</v>
      </c>
      <c r="O157" s="64">
        <v>0</v>
      </c>
      <c r="P157" s="65"/>
      <c r="Q157" s="65">
        <v>0</v>
      </c>
      <c r="R157" s="65">
        <f>+AQ157+AR157</f>
        <v>1305135.01752</v>
      </c>
      <c r="S157" s="65">
        <f>+'Приложение №2'!E166-'Приложение №1'!R157</f>
        <v>1767700.218587186</v>
      </c>
      <c r="T157" s="64">
        <f>+'Приложение №2'!E166-'Приложение №1'!P157-'Приложение №1'!Q157-'Приложение №1'!R157-'Приложение №1'!S157</f>
        <v>0</v>
      </c>
      <c r="U157" s="65">
        <f>N157/K157</f>
        <v>1533.0143262493195</v>
      </c>
      <c r="V157" s="65">
        <v>1172.2830200640003</v>
      </c>
      <c r="W157" s="126">
        <v>2022</v>
      </c>
      <c r="X157" s="74">
        <v>806093.85</v>
      </c>
      <c r="Y157" s="74">
        <f>+(K157*12.08+L157*20.47)*12</f>
        <v>290563.62239999999</v>
      </c>
      <c r="AA157" s="129">
        <f>+N157-'[5]Приложение № 2'!E148</f>
        <v>-3087466.5862912149</v>
      </c>
      <c r="AD157" s="129">
        <f>+N157-'[5]Приложение № 2'!E148</f>
        <v>-3087466.5862912149</v>
      </c>
      <c r="AP157" s="128">
        <f>+N157-'Приложение №2'!E166</f>
        <v>0</v>
      </c>
      <c r="AQ157" s="74">
        <v>1033417.14</v>
      </c>
      <c r="AR157" s="25">
        <f>+(K157*13.29+L157*22.52)*12*0.85</f>
        <v>271717.87752000004</v>
      </c>
      <c r="AS157" s="25">
        <f>+(K157*13.29+L157*22.52)*12*30</f>
        <v>9590042.7360000014</v>
      </c>
      <c r="AT157" s="127">
        <f t="shared" si="52"/>
        <v>-7822342.5174128152</v>
      </c>
      <c r="AW157" s="63">
        <f t="shared" si="53"/>
        <v>3072835.2361071859</v>
      </c>
      <c r="AX157" s="64"/>
      <c r="AY157" s="64"/>
      <c r="AZ157" s="64"/>
      <c r="BA157" s="64"/>
      <c r="BB157" s="64"/>
      <c r="BC157" s="64"/>
      <c r="BD157" s="64"/>
      <c r="BE157" s="64">
        <v>2869496.64</v>
      </c>
      <c r="BF157" s="64"/>
      <c r="BG157" s="64"/>
      <c r="BH157" s="64"/>
      <c r="BI157" s="64"/>
      <c r="BJ157" s="64">
        <v>105249.4299072</v>
      </c>
      <c r="BK157" s="65">
        <v>24000</v>
      </c>
      <c r="BL157" s="66">
        <v>74089.166199985935</v>
      </c>
    </row>
    <row r="158" spans="1:64" x14ac:dyDescent="0.25">
      <c r="A158" s="122">
        <f t="shared" si="54"/>
        <v>141</v>
      </c>
      <c r="B158" s="62">
        <f t="shared" si="54"/>
        <v>141</v>
      </c>
      <c r="C158" s="62" t="s">
        <v>46</v>
      </c>
      <c r="D158" s="62" t="s">
        <v>838</v>
      </c>
      <c r="E158" s="123">
        <v>1976</v>
      </c>
      <c r="F158" s="123">
        <v>2011</v>
      </c>
      <c r="G158" s="123" t="s">
        <v>43</v>
      </c>
      <c r="H158" s="123">
        <v>5</v>
      </c>
      <c r="I158" s="123">
        <v>3</v>
      </c>
      <c r="J158" s="64">
        <v>4142.3</v>
      </c>
      <c r="K158" s="64">
        <v>3019.79</v>
      </c>
      <c r="L158" s="64">
        <v>533.29999999999995</v>
      </c>
      <c r="M158" s="124">
        <v>117</v>
      </c>
      <c r="N158" s="63">
        <f t="shared" si="49"/>
        <v>6284189.3513380401</v>
      </c>
      <c r="O158" s="64"/>
      <c r="P158" s="65">
        <v>645040.81000000006</v>
      </c>
      <c r="Q158" s="65"/>
      <c r="R158" s="65"/>
      <c r="S158" s="65">
        <f>+'Приложение №2'!E167-'Приложение №1'!P158</f>
        <v>5639148.5413380396</v>
      </c>
      <c r="T158" s="64">
        <f>+'Приложение №2'!E167-'Приложение №1'!P158-'Приложение №1'!Q158-'Приложение №1'!R158-'Приложение №1'!S158</f>
        <v>0</v>
      </c>
      <c r="U158" s="65">
        <f t="shared" ref="U158:V180" si="55">$N158/($K158+$L158)</f>
        <v>1768.6547065619052</v>
      </c>
      <c r="V158" s="65">
        <f t="shared" si="55"/>
        <v>1768.6547065619052</v>
      </c>
      <c r="W158" s="126">
        <v>2022</v>
      </c>
      <c r="X158" s="127" t="e">
        <f>+#REF!-'[1]Приложение №1'!$P1192</f>
        <v>#REF!</v>
      </c>
      <c r="Z158" s="63">
        <f t="shared" ref="Z158:Z180" si="56">SUM(AA158:AO158)</f>
        <v>14409527.60733</v>
      </c>
      <c r="AA158" s="64">
        <v>10235799.652008839</v>
      </c>
      <c r="AB158" s="64">
        <v>0</v>
      </c>
      <c r="AC158" s="64">
        <v>0</v>
      </c>
      <c r="AD158" s="64">
        <v>2771852.98</v>
      </c>
      <c r="AE158" s="64">
        <v>0</v>
      </c>
      <c r="AF158" s="64"/>
      <c r="AG158" s="64">
        <v>0</v>
      </c>
      <c r="AH158" s="64">
        <v>0</v>
      </c>
      <c r="AI158" s="64">
        <v>0</v>
      </c>
      <c r="AJ158" s="64">
        <v>0</v>
      </c>
      <c r="AK158" s="64">
        <v>0</v>
      </c>
      <c r="AL158" s="64">
        <v>0</v>
      </c>
      <c r="AM158" s="64">
        <v>977830.47720000008</v>
      </c>
      <c r="AN158" s="65">
        <v>142733.0534</v>
      </c>
      <c r="AO158" s="66">
        <v>281311.44472115999</v>
      </c>
      <c r="AP158" s="128">
        <f>+N158-'Приложение №2'!E167</f>
        <v>0</v>
      </c>
      <c r="AQ158" s="23">
        <v>1203751.1100000001</v>
      </c>
      <c r="AR158" s="25">
        <f>+(K158*10+L158*20)*12*0.85</f>
        <v>416811.78</v>
      </c>
      <c r="AS158" s="25">
        <f>+(K158*10+L158*20)*12*30</f>
        <v>14711004.000000002</v>
      </c>
      <c r="AT158" s="127">
        <f t="shared" si="52"/>
        <v>-9071855.4586619623</v>
      </c>
      <c r="AW158" s="63">
        <f t="shared" si="53"/>
        <v>6284189.3513380401</v>
      </c>
      <c r="AX158" s="64">
        <v>3826027.56</v>
      </c>
      <c r="AY158" s="64">
        <v>0</v>
      </c>
      <c r="AZ158" s="64">
        <v>0</v>
      </c>
      <c r="BA158" s="64">
        <v>2180636.06</v>
      </c>
      <c r="BB158" s="64">
        <v>0</v>
      </c>
      <c r="BC158" s="64"/>
      <c r="BD158" s="64"/>
      <c r="BE158" s="64">
        <v>0</v>
      </c>
      <c r="BF158" s="64">
        <v>0</v>
      </c>
      <c r="BG158" s="64">
        <v>0</v>
      </c>
      <c r="BH158" s="64">
        <v>0</v>
      </c>
      <c r="BI158" s="64">
        <v>0</v>
      </c>
      <c r="BJ158" s="64"/>
      <c r="BK158" s="65"/>
      <c r="BL158" s="66">
        <v>277525.73133804003</v>
      </c>
    </row>
    <row r="159" spans="1:64" x14ac:dyDescent="0.25">
      <c r="A159" s="122">
        <f t="shared" si="54"/>
        <v>142</v>
      </c>
      <c r="B159" s="62">
        <f t="shared" si="54"/>
        <v>142</v>
      </c>
      <c r="C159" s="62" t="s">
        <v>46</v>
      </c>
      <c r="D159" s="62" t="s">
        <v>1055</v>
      </c>
      <c r="E159" s="123">
        <v>1986</v>
      </c>
      <c r="F159" s="123">
        <v>2015</v>
      </c>
      <c r="G159" s="123" t="s">
        <v>43</v>
      </c>
      <c r="H159" s="123">
        <v>9</v>
      </c>
      <c r="I159" s="123">
        <v>1</v>
      </c>
      <c r="J159" s="64">
        <v>2267.6999999999998</v>
      </c>
      <c r="K159" s="64">
        <v>1885.78</v>
      </c>
      <c r="L159" s="64">
        <v>353.8</v>
      </c>
      <c r="M159" s="124">
        <v>71</v>
      </c>
      <c r="N159" s="63">
        <f t="shared" si="49"/>
        <v>863296.86591239995</v>
      </c>
      <c r="O159" s="64"/>
      <c r="P159" s="65"/>
      <c r="Q159" s="65"/>
      <c r="R159" s="65">
        <f>+'Приложение №2'!E168-'Приложение №1'!S159</f>
        <v>80395.895912399981</v>
      </c>
      <c r="S159" s="65">
        <v>782900.97</v>
      </c>
      <c r="T159" s="64">
        <f>+'Приложение №2'!E168-'Приложение №1'!P159-'Приложение №1'!Q159-'Приложение №1'!R159-'Приложение №1'!S159</f>
        <v>0</v>
      </c>
      <c r="U159" s="65">
        <f t="shared" si="55"/>
        <v>385.4726626922905</v>
      </c>
      <c r="V159" s="65">
        <f t="shared" si="55"/>
        <v>385.4726626922905</v>
      </c>
      <c r="W159" s="126">
        <v>2022</v>
      </c>
      <c r="X159" s="127" t="e">
        <f>+#REF!-'[1]Приложение №1'!$P499</f>
        <v>#REF!</v>
      </c>
      <c r="Z159" s="63">
        <f t="shared" si="56"/>
        <v>4290984.03</v>
      </c>
      <c r="AA159" s="64">
        <v>0</v>
      </c>
      <c r="AB159" s="64">
        <v>0</v>
      </c>
      <c r="AC159" s="64">
        <v>1932684.6731463599</v>
      </c>
      <c r="AD159" s="64">
        <v>1743736.9969412398</v>
      </c>
      <c r="AE159" s="64">
        <v>0</v>
      </c>
      <c r="AF159" s="64"/>
      <c r="AG159" s="64">
        <v>0</v>
      </c>
      <c r="AH159" s="64">
        <v>0</v>
      </c>
      <c r="AI159" s="64">
        <v>0</v>
      </c>
      <c r="AJ159" s="64">
        <v>0</v>
      </c>
      <c r="AK159" s="64">
        <v>0</v>
      </c>
      <c r="AL159" s="64">
        <v>0</v>
      </c>
      <c r="AM159" s="64">
        <v>491256.6237</v>
      </c>
      <c r="AN159" s="65">
        <v>42909.840299999996</v>
      </c>
      <c r="AO159" s="66">
        <v>80395.895912399996</v>
      </c>
      <c r="AP159" s="128">
        <f>+N159-'Приложение №2'!E168</f>
        <v>0</v>
      </c>
      <c r="AQ159" s="23">
        <v>1383560.53</v>
      </c>
      <c r="AR159" s="25">
        <f>+(K159*13.29+L159*22.52)*12*0.85</f>
        <v>336901.84044</v>
      </c>
      <c r="AS159" s="25">
        <f>+(K159*13.29+L159*22.52)*12*30-1239264.3</f>
        <v>10651388.891999999</v>
      </c>
      <c r="AT159" s="127">
        <f t="shared" si="52"/>
        <v>-9868487.9219999984</v>
      </c>
      <c r="AW159" s="63">
        <f t="shared" si="53"/>
        <v>863296.86591239995</v>
      </c>
      <c r="AX159" s="64">
        <v>0</v>
      </c>
      <c r="AY159" s="64">
        <v>0</v>
      </c>
      <c r="AZ159" s="64">
        <v>782900.97</v>
      </c>
      <c r="BA159" s="64"/>
      <c r="BB159" s="64">
        <v>0</v>
      </c>
      <c r="BC159" s="64"/>
      <c r="BD159" s="64"/>
      <c r="BE159" s="64">
        <v>0</v>
      </c>
      <c r="BF159" s="64">
        <v>0</v>
      </c>
      <c r="BG159" s="64">
        <v>0</v>
      </c>
      <c r="BH159" s="64">
        <v>0</v>
      </c>
      <c r="BI159" s="64">
        <v>0</v>
      </c>
      <c r="BJ159" s="64"/>
      <c r="BK159" s="65"/>
      <c r="BL159" s="66">
        <v>80395.895912399996</v>
      </c>
    </row>
    <row r="160" spans="1:64" x14ac:dyDescent="0.25">
      <c r="A160" s="122">
        <f t="shared" si="54"/>
        <v>143</v>
      </c>
      <c r="B160" s="62">
        <f t="shared" si="54"/>
        <v>143</v>
      </c>
      <c r="C160" s="62" t="s">
        <v>46</v>
      </c>
      <c r="D160" s="62" t="s">
        <v>1056</v>
      </c>
      <c r="E160" s="123">
        <v>1985</v>
      </c>
      <c r="F160" s="123">
        <v>2015</v>
      </c>
      <c r="G160" s="123" t="s">
        <v>43</v>
      </c>
      <c r="H160" s="123">
        <v>9</v>
      </c>
      <c r="I160" s="123">
        <v>1</v>
      </c>
      <c r="J160" s="64">
        <v>2293.5</v>
      </c>
      <c r="K160" s="64">
        <v>1892.9</v>
      </c>
      <c r="L160" s="64">
        <v>103.9</v>
      </c>
      <c r="M160" s="124">
        <v>75</v>
      </c>
      <c r="N160" s="63">
        <f t="shared" si="49"/>
        <v>11321051.292631399</v>
      </c>
      <c r="O160" s="64"/>
      <c r="P160" s="65">
        <v>4582722.4000000004</v>
      </c>
      <c r="Q160" s="65"/>
      <c r="R160" s="65"/>
      <c r="S160" s="65">
        <f>+'Приложение №2'!E169-'Приложение №1'!P160</f>
        <v>6738328.8926313985</v>
      </c>
      <c r="T160" s="64">
        <f>+'Приложение №2'!E169-'Приложение №1'!P160-'Приложение №1'!Q160-'Приложение №1'!R160-'Приложение №1'!S160</f>
        <v>0</v>
      </c>
      <c r="U160" s="65">
        <f t="shared" si="55"/>
        <v>5669.5970015181283</v>
      </c>
      <c r="V160" s="65">
        <f t="shared" si="55"/>
        <v>5669.5970015181283</v>
      </c>
      <c r="W160" s="126">
        <v>2022</v>
      </c>
      <c r="X160" s="127" t="e">
        <f>+#REF!-'[1]Приложение №1'!$P1195</f>
        <v>#REF!</v>
      </c>
      <c r="Z160" s="63">
        <f t="shared" si="56"/>
        <v>19409539.310000002</v>
      </c>
      <c r="AA160" s="64">
        <v>4657498.8457725001</v>
      </c>
      <c r="AB160" s="64">
        <v>3196464.6551275197</v>
      </c>
      <c r="AC160" s="64">
        <v>1945745.8302928801</v>
      </c>
      <c r="AD160" s="64">
        <v>1755521.2429481999</v>
      </c>
      <c r="AE160" s="64">
        <v>0</v>
      </c>
      <c r="AF160" s="64"/>
      <c r="AG160" s="64">
        <v>224063.08219680001</v>
      </c>
      <c r="AH160" s="64">
        <v>0</v>
      </c>
      <c r="AI160" s="64">
        <v>0</v>
      </c>
      <c r="AJ160" s="64">
        <v>0</v>
      </c>
      <c r="AK160" s="64">
        <v>0</v>
      </c>
      <c r="AL160" s="64">
        <v>5187222.9645671407</v>
      </c>
      <c r="AM160" s="64">
        <v>1877903.9405</v>
      </c>
      <c r="AN160" s="65">
        <v>194095.39309999999</v>
      </c>
      <c r="AO160" s="66">
        <v>371023.35549496004</v>
      </c>
      <c r="AP160" s="128">
        <f>+N160-'Приложение №2'!E169</f>
        <v>0</v>
      </c>
      <c r="AQ160" s="23">
        <v>1237727.3</v>
      </c>
      <c r="AR160" s="25">
        <f>+(K160*13.29+L160*22.52)*12*0.85</f>
        <v>280463.98379999999</v>
      </c>
      <c r="AS160" s="25">
        <f>+(K160*13.29+L160*22.52)*12*30</f>
        <v>9898728.8399999999</v>
      </c>
      <c r="AT160" s="127">
        <f t="shared" si="52"/>
        <v>-3160399.9473686013</v>
      </c>
      <c r="AW160" s="63">
        <f t="shared" si="53"/>
        <v>11321051.292631399</v>
      </c>
      <c r="AX160" s="64">
        <v>3735913.84</v>
      </c>
      <c r="AY160" s="64">
        <v>627030.85</v>
      </c>
      <c r="AZ160" s="64">
        <v>1443652.49</v>
      </c>
      <c r="BA160" s="64">
        <v>1126366.8799999999</v>
      </c>
      <c r="BB160" s="64">
        <v>0</v>
      </c>
      <c r="BC160" s="64"/>
      <c r="BD160" s="64"/>
      <c r="BE160" s="64">
        <v>0</v>
      </c>
      <c r="BF160" s="64">
        <v>0</v>
      </c>
      <c r="BG160" s="64">
        <v>0</v>
      </c>
      <c r="BH160" s="64">
        <v>0</v>
      </c>
      <c r="BI160" s="64">
        <v>4237247.8099999996</v>
      </c>
      <c r="BJ160" s="64"/>
      <c r="BK160" s="65"/>
      <c r="BL160" s="66">
        <v>150839.4226314</v>
      </c>
    </row>
    <row r="161" spans="1:64" x14ac:dyDescent="0.25">
      <c r="A161" s="122">
        <f t="shared" si="54"/>
        <v>144</v>
      </c>
      <c r="B161" s="62">
        <f t="shared" si="54"/>
        <v>144</v>
      </c>
      <c r="C161" s="62" t="s">
        <v>46</v>
      </c>
      <c r="D161" s="62" t="s">
        <v>839</v>
      </c>
      <c r="E161" s="123">
        <v>1975</v>
      </c>
      <c r="F161" s="123">
        <v>2013</v>
      </c>
      <c r="G161" s="123" t="s">
        <v>43</v>
      </c>
      <c r="H161" s="123">
        <v>4</v>
      </c>
      <c r="I161" s="123">
        <v>3</v>
      </c>
      <c r="J161" s="64">
        <v>2231.4</v>
      </c>
      <c r="K161" s="64">
        <v>2050.6999999999998</v>
      </c>
      <c r="L161" s="64">
        <v>57.4</v>
      </c>
      <c r="M161" s="124">
        <v>91</v>
      </c>
      <c r="N161" s="63">
        <f t="shared" si="49"/>
        <v>681605.38</v>
      </c>
      <c r="O161" s="64"/>
      <c r="P161" s="65"/>
      <c r="Q161" s="65"/>
      <c r="R161" s="65"/>
      <c r="S161" s="65">
        <f>+'Приложение №2'!E170-'Приложение №1'!P161-'Приложение №1'!Q161-'Приложение №1'!R161</f>
        <v>681605.38</v>
      </c>
      <c r="T161" s="64">
        <f>+'Приложение №2'!E170-'Приложение №1'!P161-'Приложение №1'!Q161-'Приложение №1'!R161-'Приложение №1'!S161</f>
        <v>0</v>
      </c>
      <c r="U161" s="65">
        <f t="shared" si="55"/>
        <v>323.32687253925337</v>
      </c>
      <c r="V161" s="65">
        <f t="shared" si="55"/>
        <v>323.32687253925337</v>
      </c>
      <c r="W161" s="126">
        <v>2022</v>
      </c>
      <c r="X161" s="127" t="e">
        <f>+#REF!-'[1]Приложение №1'!$P501</f>
        <v>#REF!</v>
      </c>
      <c r="Z161" s="63">
        <f t="shared" si="56"/>
        <v>31294041.869999997</v>
      </c>
      <c r="AA161" s="64">
        <v>0</v>
      </c>
      <c r="AB161" s="64">
        <v>2153754.7550966996</v>
      </c>
      <c r="AC161" s="64">
        <v>2250168.3177519003</v>
      </c>
      <c r="AD161" s="64">
        <v>0</v>
      </c>
      <c r="AE161" s="64">
        <v>0</v>
      </c>
      <c r="AF161" s="64"/>
      <c r="AG161" s="64">
        <v>0</v>
      </c>
      <c r="AH161" s="64">
        <v>0</v>
      </c>
      <c r="AI161" s="64">
        <v>11049571.316473201</v>
      </c>
      <c r="AJ161" s="64">
        <v>0</v>
      </c>
      <c r="AK161" s="64">
        <v>5737009.0626080399</v>
      </c>
      <c r="AL161" s="64">
        <v>6187940.5055416208</v>
      </c>
      <c r="AM161" s="64">
        <v>3003946.3752000001</v>
      </c>
      <c r="AN161" s="65">
        <v>312940.41869999998</v>
      </c>
      <c r="AO161" s="66">
        <v>598711.11862854008</v>
      </c>
      <c r="AP161" s="128">
        <f>+N161-'Приложение №2'!E170</f>
        <v>0</v>
      </c>
      <c r="AQ161" s="23">
        <v>972243.21</v>
      </c>
      <c r="AR161" s="25">
        <f>+(K161*10+L161*20)*12*0.85</f>
        <v>220881</v>
      </c>
      <c r="AS161" s="25">
        <f>+(K161*10+L161*20)*12*30</f>
        <v>7795800</v>
      </c>
      <c r="AT161" s="127">
        <f t="shared" si="52"/>
        <v>-7114194.6200000001</v>
      </c>
      <c r="AW161" s="63">
        <f t="shared" si="53"/>
        <v>681605.38</v>
      </c>
      <c r="AX161" s="64">
        <v>0</v>
      </c>
      <c r="AY161" s="64"/>
      <c r="AZ161" s="64">
        <v>681605.38</v>
      </c>
      <c r="BA161" s="64">
        <v>0</v>
      </c>
      <c r="BB161" s="64">
        <v>0</v>
      </c>
      <c r="BC161" s="64"/>
      <c r="BD161" s="64"/>
      <c r="BE161" s="64">
        <v>0</v>
      </c>
      <c r="BF161" s="64"/>
      <c r="BG161" s="64">
        <v>0</v>
      </c>
      <c r="BH161" s="64"/>
      <c r="BI161" s="64"/>
      <c r="BJ161" s="64"/>
      <c r="BK161" s="65"/>
      <c r="BL161" s="66"/>
    </row>
    <row r="162" spans="1:64" x14ac:dyDescent="0.25">
      <c r="A162" s="122">
        <f t="shared" si="54"/>
        <v>145</v>
      </c>
      <c r="B162" s="62">
        <f t="shared" si="54"/>
        <v>145</v>
      </c>
      <c r="C162" s="62" t="s">
        <v>46</v>
      </c>
      <c r="D162" s="62" t="s">
        <v>413</v>
      </c>
      <c r="E162" s="123">
        <v>1974</v>
      </c>
      <c r="F162" s="123">
        <v>2014</v>
      </c>
      <c r="G162" s="123" t="s">
        <v>43</v>
      </c>
      <c r="H162" s="123">
        <v>4</v>
      </c>
      <c r="I162" s="123">
        <v>6</v>
      </c>
      <c r="J162" s="64">
        <v>4464.7</v>
      </c>
      <c r="K162" s="64">
        <v>4072.9</v>
      </c>
      <c r="L162" s="64">
        <v>35.1</v>
      </c>
      <c r="M162" s="124">
        <v>161</v>
      </c>
      <c r="N162" s="63">
        <f t="shared" si="49"/>
        <v>2689617.46</v>
      </c>
      <c r="O162" s="64"/>
      <c r="P162" s="65">
        <v>1182697.55</v>
      </c>
      <c r="Q162" s="65"/>
      <c r="R162" s="65">
        <v>1506919.91</v>
      </c>
      <c r="S162" s="65"/>
      <c r="T162" s="64">
        <f>+'Приложение №2'!E171-'Приложение №1'!P162-'Приложение №1'!Q162-'Приложение №1'!R162-'Приложение №1'!S162</f>
        <v>0</v>
      </c>
      <c r="U162" s="65">
        <f t="shared" si="55"/>
        <v>654.72674294060369</v>
      </c>
      <c r="V162" s="65">
        <f t="shared" si="55"/>
        <v>654.72674294060369</v>
      </c>
      <c r="W162" s="126">
        <v>2022</v>
      </c>
      <c r="X162" s="127" t="e">
        <f>+#REF!-'[1]Приложение №1'!$P1619</f>
        <v>#REF!</v>
      </c>
      <c r="Z162" s="63">
        <f t="shared" si="56"/>
        <v>5164492.49</v>
      </c>
      <c r="AA162" s="64">
        <v>0</v>
      </c>
      <c r="AB162" s="64">
        <v>0</v>
      </c>
      <c r="AC162" s="64">
        <v>4498035.3921354599</v>
      </c>
      <c r="AD162" s="64">
        <v>0</v>
      </c>
      <c r="AE162" s="64">
        <v>0</v>
      </c>
      <c r="AF162" s="64"/>
      <c r="AG162" s="64">
        <v>0</v>
      </c>
      <c r="AH162" s="64">
        <v>0</v>
      </c>
      <c r="AI162" s="64">
        <v>0</v>
      </c>
      <c r="AJ162" s="64">
        <v>0</v>
      </c>
      <c r="AK162" s="64">
        <v>0</v>
      </c>
      <c r="AL162" s="64">
        <v>0</v>
      </c>
      <c r="AM162" s="64">
        <v>516449.24900000007</v>
      </c>
      <c r="AN162" s="65">
        <v>51644.924900000005</v>
      </c>
      <c r="AO162" s="66">
        <v>98362.923964540008</v>
      </c>
      <c r="AP162" s="128">
        <f>+N162-'Приложение №2'!E171</f>
        <v>0</v>
      </c>
      <c r="AQ162" s="23">
        <v>1783982.53</v>
      </c>
      <c r="AR162" s="25">
        <f>+(K162*10+L162*20)*12*0.85</f>
        <v>422596.2</v>
      </c>
      <c r="AS162" s="25">
        <f>+(K162*10+L162*20)*12*30</f>
        <v>14915160</v>
      </c>
      <c r="AT162" s="127">
        <f t="shared" si="52"/>
        <v>-14915160</v>
      </c>
      <c r="AW162" s="63">
        <f t="shared" si="53"/>
        <v>2689617.46</v>
      </c>
      <c r="AX162" s="64">
        <v>0</v>
      </c>
      <c r="AY162" s="64">
        <v>0</v>
      </c>
      <c r="AZ162" s="64">
        <v>2689617.46</v>
      </c>
      <c r="BA162" s="64">
        <v>0</v>
      </c>
      <c r="BB162" s="64">
        <v>0</v>
      </c>
      <c r="BC162" s="64"/>
      <c r="BD162" s="64"/>
      <c r="BE162" s="64">
        <v>0</v>
      </c>
      <c r="BF162" s="64">
        <v>0</v>
      </c>
      <c r="BG162" s="64">
        <v>0</v>
      </c>
      <c r="BH162" s="64">
        <v>0</v>
      </c>
      <c r="BI162" s="64">
        <v>0</v>
      </c>
      <c r="BJ162" s="64"/>
      <c r="BK162" s="65"/>
      <c r="BL162" s="66"/>
    </row>
    <row r="163" spans="1:64" x14ac:dyDescent="0.25">
      <c r="A163" s="122">
        <f t="shared" ref="A163:B178" si="57">+A162+1</f>
        <v>146</v>
      </c>
      <c r="B163" s="62">
        <f t="shared" si="57"/>
        <v>146</v>
      </c>
      <c r="C163" s="62" t="s">
        <v>46</v>
      </c>
      <c r="D163" s="62" t="s">
        <v>840</v>
      </c>
      <c r="E163" s="123">
        <v>1989</v>
      </c>
      <c r="F163" s="123">
        <v>2015</v>
      </c>
      <c r="G163" s="123" t="s">
        <v>43</v>
      </c>
      <c r="H163" s="123">
        <v>9</v>
      </c>
      <c r="I163" s="123">
        <v>4</v>
      </c>
      <c r="J163" s="64">
        <v>9199.2999999999993</v>
      </c>
      <c r="K163" s="64">
        <v>8072</v>
      </c>
      <c r="L163" s="64">
        <v>65.599999999999994</v>
      </c>
      <c r="M163" s="124">
        <v>366</v>
      </c>
      <c r="N163" s="95">
        <f t="shared" si="49"/>
        <v>25727773.27</v>
      </c>
      <c r="O163" s="64"/>
      <c r="P163" s="65"/>
      <c r="Q163" s="65"/>
      <c r="R163" s="65">
        <v>1050151.8600000001</v>
      </c>
      <c r="S163" s="65">
        <f>+AS163</f>
        <v>24677621.41</v>
      </c>
      <c r="T163" s="65">
        <f>+'Приложение №2'!E172-'Приложение №1'!P163-'Приложение №1'!Q163-'Приложение №1'!R163-'Приложение №1'!S163</f>
        <v>0</v>
      </c>
      <c r="U163" s="64">
        <f t="shared" si="55"/>
        <v>3161.5922716771529</v>
      </c>
      <c r="V163" s="64">
        <f t="shared" si="55"/>
        <v>3161.5922716771529</v>
      </c>
      <c r="W163" s="126">
        <v>2022</v>
      </c>
      <c r="X163" s="127" t="e">
        <f>+#REF!-'[1]Приложение №1'!$P1207</f>
        <v>#REF!</v>
      </c>
      <c r="Z163" s="63">
        <f t="shared" si="56"/>
        <v>77772109.160000011</v>
      </c>
      <c r="AA163" s="64">
        <v>18662138.402554922</v>
      </c>
      <c r="AB163" s="64">
        <v>12807918.526641842</v>
      </c>
      <c r="AC163" s="64">
        <v>7796411.5854290398</v>
      </c>
      <c r="AD163" s="64">
        <v>7034200.4194895998</v>
      </c>
      <c r="AE163" s="64">
        <v>0</v>
      </c>
      <c r="AF163" s="64"/>
      <c r="AG163" s="64">
        <v>897798.66553440015</v>
      </c>
      <c r="AH163" s="64">
        <v>0</v>
      </c>
      <c r="AI163" s="64">
        <v>0</v>
      </c>
      <c r="AJ163" s="64">
        <v>0</v>
      </c>
      <c r="AK163" s="64">
        <v>0</v>
      </c>
      <c r="AL163" s="64">
        <v>20784690.663111482</v>
      </c>
      <c r="AM163" s="64">
        <v>7524575.8236000016</v>
      </c>
      <c r="AN163" s="65">
        <v>777721.09159999993</v>
      </c>
      <c r="AO163" s="66">
        <v>1486653.9820387203</v>
      </c>
      <c r="AP163" s="128">
        <f>+N163-'Приложение №2'!E172</f>
        <v>0</v>
      </c>
      <c r="AQ163" s="23">
        <v>4641267.93</v>
      </c>
      <c r="AR163" s="25">
        <f>+(K163*13.29+L163*22.52)*12*0.85</f>
        <v>1109292.7583999999</v>
      </c>
      <c r="AS163" s="25">
        <v>24677621.41</v>
      </c>
      <c r="AT163" s="127">
        <f t="shared" si="52"/>
        <v>0</v>
      </c>
      <c r="AW163" s="63">
        <f t="shared" si="53"/>
        <v>25727773.27</v>
      </c>
      <c r="AX163" s="64"/>
      <c r="AY163" s="64">
        <v>3182426.63</v>
      </c>
      <c r="AZ163" s="64"/>
      <c r="BA163" s="64"/>
      <c r="BB163" s="64">
        <v>0</v>
      </c>
      <c r="BC163" s="64"/>
      <c r="BD163" s="64"/>
      <c r="BE163" s="64">
        <v>0</v>
      </c>
      <c r="BF163" s="64">
        <v>0</v>
      </c>
      <c r="BG163" s="64">
        <v>0</v>
      </c>
      <c r="BH163" s="64">
        <v>0</v>
      </c>
      <c r="BI163" s="64">
        <v>22545346.640000001</v>
      </c>
      <c r="BJ163" s="64"/>
      <c r="BK163" s="65"/>
      <c r="BL163" s="66"/>
    </row>
    <row r="164" spans="1:64" x14ac:dyDescent="0.25">
      <c r="A164" s="122">
        <f t="shared" si="57"/>
        <v>147</v>
      </c>
      <c r="B164" s="62">
        <f t="shared" si="57"/>
        <v>147</v>
      </c>
      <c r="C164" s="62" t="s">
        <v>46</v>
      </c>
      <c r="D164" s="62" t="s">
        <v>841</v>
      </c>
      <c r="E164" s="123">
        <v>1992</v>
      </c>
      <c r="F164" s="123">
        <v>2015</v>
      </c>
      <c r="G164" s="123" t="s">
        <v>43</v>
      </c>
      <c r="H164" s="123">
        <v>9</v>
      </c>
      <c r="I164" s="123">
        <v>3</v>
      </c>
      <c r="J164" s="64">
        <v>6872</v>
      </c>
      <c r="K164" s="64">
        <v>6094.4</v>
      </c>
      <c r="L164" s="64">
        <v>0</v>
      </c>
      <c r="M164" s="124">
        <v>259</v>
      </c>
      <c r="N164" s="63">
        <f t="shared" ref="N164:N195" si="58">+P164+Q164+R164+S164+T164</f>
        <v>9962928.3052925188</v>
      </c>
      <c r="O164" s="64"/>
      <c r="P164" s="65">
        <f>[7]Лист1!$I$152+[7]Лист1!$I$189</f>
        <v>5994717.7699999996</v>
      </c>
      <c r="Q164" s="65"/>
      <c r="R164" s="65"/>
      <c r="S164" s="65">
        <f>+'Приложение №2'!E173-'Приложение №1'!P164-'Приложение №1'!R164-'Приложение №1'!T164</f>
        <v>3968210.5352925193</v>
      </c>
      <c r="T164" s="64"/>
      <c r="U164" s="65">
        <f t="shared" si="55"/>
        <v>1634.7677056465805</v>
      </c>
      <c r="V164" s="65">
        <f t="shared" si="55"/>
        <v>1634.7677056465805</v>
      </c>
      <c r="W164" s="126">
        <v>2022</v>
      </c>
      <c r="X164" s="127" t="e">
        <f>+#REF!-'[1]Приложение №1'!$P829</f>
        <v>#REF!</v>
      </c>
      <c r="Y164" s="23" t="s">
        <v>86</v>
      </c>
      <c r="Z164" s="63">
        <f t="shared" si="56"/>
        <v>58070573.899999999</v>
      </c>
      <c r="AA164" s="64">
        <v>13934572.418976301</v>
      </c>
      <c r="AB164" s="64">
        <v>9563366.4457228798</v>
      </c>
      <c r="AC164" s="64">
        <v>5821394.0711791199</v>
      </c>
      <c r="AD164" s="64">
        <v>5252269.220784599</v>
      </c>
      <c r="AE164" s="64">
        <v>0</v>
      </c>
      <c r="AF164" s="64"/>
      <c r="AG164" s="64">
        <v>670364.7917232</v>
      </c>
      <c r="AH164" s="64">
        <v>0</v>
      </c>
      <c r="AI164" s="64">
        <v>0</v>
      </c>
      <c r="AJ164" s="64">
        <v>0</v>
      </c>
      <c r="AK164" s="64">
        <v>0</v>
      </c>
      <c r="AL164" s="64">
        <v>15519431.430770401</v>
      </c>
      <c r="AM164" s="64">
        <v>5618420.8085000012</v>
      </c>
      <c r="AN164" s="65">
        <v>580705.73900000006</v>
      </c>
      <c r="AO164" s="66">
        <v>1110048.9733435002</v>
      </c>
      <c r="AP164" s="128">
        <f>+N164-'Приложение №2'!E173</f>
        <v>0</v>
      </c>
      <c r="AQ164" s="23">
        <f>3336709.09-263343.45</f>
        <v>3073365.6399999997</v>
      </c>
      <c r="AR164" s="25">
        <f>+(K164*13.29+L164*22.52)*12*0.85</f>
        <v>826144.67519999982</v>
      </c>
      <c r="AS164" s="25">
        <f>+(K164*13.29+L164*22.52)*12*30-1442656.44</f>
        <v>27715390.919999991</v>
      </c>
      <c r="AT164" s="127">
        <f t="shared" si="52"/>
        <v>-23747180.384707473</v>
      </c>
      <c r="AW164" s="63">
        <f t="shared" si="53"/>
        <v>9962928.3052925188</v>
      </c>
      <c r="AX164" s="64"/>
      <c r="AY164" s="64">
        <v>7323917.46</v>
      </c>
      <c r="AZ164" s="64"/>
      <c r="BA164" s="64">
        <v>2315022.9</v>
      </c>
      <c r="BB164" s="64">
        <v>0</v>
      </c>
      <c r="BC164" s="64"/>
      <c r="BD164" s="64"/>
      <c r="BE164" s="64">
        <v>0</v>
      </c>
      <c r="BF164" s="64">
        <v>0</v>
      </c>
      <c r="BG164" s="64">
        <v>0</v>
      </c>
      <c r="BH164" s="64">
        <v>0</v>
      </c>
      <c r="BI164" s="64"/>
      <c r="BJ164" s="64"/>
      <c r="BK164" s="65"/>
      <c r="BL164" s="66">
        <v>323987.94529252005</v>
      </c>
    </row>
    <row r="165" spans="1:64" x14ac:dyDescent="0.25">
      <c r="A165" s="122">
        <f t="shared" si="57"/>
        <v>148</v>
      </c>
      <c r="B165" s="62">
        <f t="shared" si="57"/>
        <v>148</v>
      </c>
      <c r="C165" s="62" t="s">
        <v>46</v>
      </c>
      <c r="D165" s="62" t="s">
        <v>1057</v>
      </c>
      <c r="E165" s="123">
        <v>1984</v>
      </c>
      <c r="F165" s="123">
        <v>2013</v>
      </c>
      <c r="G165" s="123" t="s">
        <v>43</v>
      </c>
      <c r="H165" s="123">
        <v>9</v>
      </c>
      <c r="I165" s="123">
        <v>2</v>
      </c>
      <c r="J165" s="64">
        <v>8198.7000000000007</v>
      </c>
      <c r="K165" s="64">
        <v>7324.41</v>
      </c>
      <c r="L165" s="64">
        <v>0</v>
      </c>
      <c r="M165" s="124">
        <v>272</v>
      </c>
      <c r="N165" s="63">
        <f t="shared" si="58"/>
        <v>53790180.380000003</v>
      </c>
      <c r="O165" s="64"/>
      <c r="P165" s="65">
        <v>10676631.48</v>
      </c>
      <c r="Q165" s="65"/>
      <c r="R165" s="65">
        <v>1088675.32</v>
      </c>
      <c r="S165" s="65">
        <f>+'Приложение №2'!E174-'Приложение №1'!P165-'Приложение №1'!R165-'Приложение №1'!T165</f>
        <v>30794766.453999996</v>
      </c>
      <c r="T165" s="64">
        <v>11230107.126000009</v>
      </c>
      <c r="U165" s="65">
        <f t="shared" si="55"/>
        <v>7343.9608623766289</v>
      </c>
      <c r="V165" s="65">
        <f t="shared" si="55"/>
        <v>7343.9608623766289</v>
      </c>
      <c r="W165" s="126">
        <v>2022</v>
      </c>
      <c r="X165" s="127" t="e">
        <f>+#REF!-'[1]Приложение №1'!$P831</f>
        <v>#REF!</v>
      </c>
      <c r="Z165" s="63">
        <f t="shared" si="56"/>
        <v>153375371.99000001</v>
      </c>
      <c r="AA165" s="64">
        <v>16985175.195665035</v>
      </c>
      <c r="AB165" s="64">
        <v>11657010.324734461</v>
      </c>
      <c r="AC165" s="64">
        <v>7095832.9536935398</v>
      </c>
      <c r="AD165" s="64">
        <v>6402113.40647172</v>
      </c>
      <c r="AE165" s="64">
        <v>0</v>
      </c>
      <c r="AF165" s="64"/>
      <c r="AG165" s="64">
        <v>817123.27375728008</v>
      </c>
      <c r="AH165" s="64">
        <v>0</v>
      </c>
      <c r="AI165" s="64">
        <v>0</v>
      </c>
      <c r="AJ165" s="64">
        <v>0</v>
      </c>
      <c r="AK165" s="64">
        <v>71933654.736292869</v>
      </c>
      <c r="AL165" s="64">
        <v>18916996.795183621</v>
      </c>
      <c r="AM165" s="64">
        <v>15107603.671900002</v>
      </c>
      <c r="AN165" s="65">
        <v>1533753.7199000001</v>
      </c>
      <c r="AO165" s="66">
        <v>2926107.9124014801</v>
      </c>
      <c r="AP165" s="128">
        <f>+N165-'Приложение №2'!E174</f>
        <v>0</v>
      </c>
      <c r="AQ165" s="23">
        <f>4296548.24-1633012.98</f>
        <v>2663535.2600000002</v>
      </c>
      <c r="AR165" s="25">
        <f>+(K165*13.29+L165*22.52)*12*0.85</f>
        <v>992882.37078</v>
      </c>
      <c r="AS165" s="25">
        <f>+(K165*13.29+L165*22.52)*12*30-4248140.75</f>
        <v>30794766.453999996</v>
      </c>
      <c r="AT165" s="127">
        <f t="shared" si="52"/>
        <v>0</v>
      </c>
      <c r="AW165" s="63">
        <f t="shared" si="53"/>
        <v>53790180.38000001</v>
      </c>
      <c r="AX165" s="64">
        <v>5141989.9000000004</v>
      </c>
      <c r="AY165" s="64"/>
      <c r="AZ165" s="64">
        <v>2714177.72</v>
      </c>
      <c r="BA165" s="64"/>
      <c r="BB165" s="64">
        <v>0</v>
      </c>
      <c r="BC165" s="64"/>
      <c r="BD165" s="64"/>
      <c r="BE165" s="64">
        <v>0</v>
      </c>
      <c r="BF165" s="64">
        <v>0</v>
      </c>
      <c r="BG165" s="64">
        <v>0</v>
      </c>
      <c r="BH165" s="64">
        <f>37030869.74+5977035.1</f>
        <v>43007904.840000004</v>
      </c>
      <c r="BI165" s="64"/>
      <c r="BJ165" s="64"/>
      <c r="BK165" s="65"/>
      <c r="BL165" s="66">
        <v>2926107.92</v>
      </c>
    </row>
    <row r="166" spans="1:64" x14ac:dyDescent="0.25">
      <c r="A166" s="122">
        <f t="shared" si="57"/>
        <v>149</v>
      </c>
      <c r="B166" s="62">
        <f t="shared" si="57"/>
        <v>149</v>
      </c>
      <c r="C166" s="62" t="s">
        <v>46</v>
      </c>
      <c r="D166" s="62" t="s">
        <v>842</v>
      </c>
      <c r="E166" s="123">
        <v>1981</v>
      </c>
      <c r="F166" s="123">
        <v>2012</v>
      </c>
      <c r="G166" s="123" t="s">
        <v>43</v>
      </c>
      <c r="H166" s="123">
        <v>5</v>
      </c>
      <c r="I166" s="123">
        <v>7</v>
      </c>
      <c r="J166" s="64">
        <v>6927.5</v>
      </c>
      <c r="K166" s="64">
        <v>5314.16</v>
      </c>
      <c r="L166" s="64">
        <v>83.1</v>
      </c>
      <c r="M166" s="124">
        <v>173</v>
      </c>
      <c r="N166" s="63">
        <f t="shared" si="58"/>
        <v>17169391.084560137</v>
      </c>
      <c r="O166" s="64"/>
      <c r="P166" s="65">
        <f>681444.46-[3]Лист1!$I$11</f>
        <v>0</v>
      </c>
      <c r="Q166" s="65"/>
      <c r="R166" s="65">
        <v>1307532.44</v>
      </c>
      <c r="S166" s="65">
        <f>+'Приложение №2'!E175-'Приложение №1'!P166-'Приложение №1'!Q166-'Приложение №1'!R166</f>
        <v>15861858.644560138</v>
      </c>
      <c r="T166" s="64">
        <f>+'Приложение №2'!E175-'Приложение №1'!P166-'Приложение №1'!Q166-'Приложение №1'!R166-'Приложение №1'!S166</f>
        <v>0</v>
      </c>
      <c r="U166" s="65">
        <f t="shared" si="55"/>
        <v>3181.1309969429185</v>
      </c>
      <c r="V166" s="65">
        <f t="shared" si="55"/>
        <v>3181.1309969429185</v>
      </c>
      <c r="W166" s="126">
        <v>2022</v>
      </c>
      <c r="X166" s="127" t="e">
        <f>+#REF!-'[1]Приложение №1'!$P1205</f>
        <v>#REF!</v>
      </c>
      <c r="Z166" s="63">
        <f t="shared" si="56"/>
        <v>106077568.56999999</v>
      </c>
      <c r="AA166" s="64">
        <v>18055119.95713608</v>
      </c>
      <c r="AB166" s="64">
        <v>0</v>
      </c>
      <c r="AC166" s="64">
        <v>0</v>
      </c>
      <c r="AD166" s="64">
        <v>4330714.8848485211</v>
      </c>
      <c r="AE166" s="64">
        <v>0</v>
      </c>
      <c r="AF166" s="64"/>
      <c r="AG166" s="64">
        <v>0</v>
      </c>
      <c r="AH166" s="64">
        <v>0</v>
      </c>
      <c r="AI166" s="64">
        <v>33967503.6578262</v>
      </c>
      <c r="AJ166" s="64">
        <v>0</v>
      </c>
      <c r="AK166" s="64">
        <v>17636148.100577578</v>
      </c>
      <c r="AL166" s="64">
        <v>19022357.136998877</v>
      </c>
      <c r="AM166" s="64">
        <v>9970968.5052000005</v>
      </c>
      <c r="AN166" s="65">
        <v>1060775.6857</v>
      </c>
      <c r="AO166" s="66">
        <v>2033980.6417127401</v>
      </c>
      <c r="AP166" s="128">
        <f>+N166-'Приложение №2'!E175</f>
        <v>0</v>
      </c>
      <c r="AQ166" s="23">
        <v>2353388.21</v>
      </c>
      <c r="AR166" s="25">
        <f>+(K166*10+L166*20)*12*0.85</f>
        <v>558996.72</v>
      </c>
      <c r="AS166" s="25">
        <f>+(K166*10+L166*20)*12*30</f>
        <v>19729296</v>
      </c>
      <c r="AT166" s="127">
        <f t="shared" si="52"/>
        <v>-3867437.3554398622</v>
      </c>
      <c r="AW166" s="63">
        <f t="shared" si="53"/>
        <v>17169391.084560137</v>
      </c>
      <c r="AX166" s="64">
        <v>3172690.78</v>
      </c>
      <c r="AY166" s="64">
        <v>0</v>
      </c>
      <c r="AZ166" s="64">
        <v>0</v>
      </c>
      <c r="BA166" s="64"/>
      <c r="BB166" s="64">
        <v>0</v>
      </c>
      <c r="BC166" s="64"/>
      <c r="BD166" s="64"/>
      <c r="BE166" s="64">
        <v>0</v>
      </c>
      <c r="BF166" s="64">
        <v>5090700.49</v>
      </c>
      <c r="BG166" s="64">
        <v>0</v>
      </c>
      <c r="BH166" s="64">
        <v>7382703.5599999996</v>
      </c>
      <c r="BI166" s="64"/>
      <c r="BJ166" s="64"/>
      <c r="BK166" s="65"/>
      <c r="BL166" s="66">
        <v>1523296.25456014</v>
      </c>
    </row>
    <row r="167" spans="1:64" x14ac:dyDescent="0.25">
      <c r="A167" s="122">
        <f t="shared" si="57"/>
        <v>150</v>
      </c>
      <c r="B167" s="62">
        <f t="shared" si="57"/>
        <v>150</v>
      </c>
      <c r="C167" s="62" t="s">
        <v>46</v>
      </c>
      <c r="D167" s="62" t="s">
        <v>1058</v>
      </c>
      <c r="E167" s="123">
        <v>1993</v>
      </c>
      <c r="F167" s="123">
        <v>2014</v>
      </c>
      <c r="G167" s="123" t="s">
        <v>43</v>
      </c>
      <c r="H167" s="123">
        <v>9</v>
      </c>
      <c r="I167" s="123">
        <v>1</v>
      </c>
      <c r="J167" s="64">
        <v>2553.4</v>
      </c>
      <c r="K167" s="64">
        <v>2128.8000000000002</v>
      </c>
      <c r="L167" s="64">
        <v>0</v>
      </c>
      <c r="M167" s="124">
        <v>78</v>
      </c>
      <c r="N167" s="63">
        <f t="shared" si="58"/>
        <v>1156060.93417932</v>
      </c>
      <c r="O167" s="64"/>
      <c r="P167" s="65"/>
      <c r="Q167" s="65"/>
      <c r="R167" s="65">
        <v>597799.18099999998</v>
      </c>
      <c r="S167" s="65">
        <f>+'Приложение №2'!E176-'Приложение №1'!P167-'Приложение №1'!Q167-'Приложение №1'!R167</f>
        <v>558261.75317932002</v>
      </c>
      <c r="T167" s="64">
        <f>+'Приложение №2'!E176-'Приложение №1'!P167-'Приложение №1'!Q167-'Приложение №1'!R167-'Приложение №1'!S167</f>
        <v>0</v>
      </c>
      <c r="U167" s="65">
        <f t="shared" si="55"/>
        <v>543.05756021200671</v>
      </c>
      <c r="V167" s="65">
        <f t="shared" si="55"/>
        <v>543.05756021200671</v>
      </c>
      <c r="W167" s="126">
        <v>2022</v>
      </c>
      <c r="X167" s="127" t="e">
        <f>+#REF!-'[1]Приложение №1'!$P833</f>
        <v>#REF!</v>
      </c>
      <c r="Z167" s="63">
        <f t="shared" si="56"/>
        <v>44395710.680000007</v>
      </c>
      <c r="AA167" s="64">
        <v>4916492.8733411394</v>
      </c>
      <c r="AB167" s="64">
        <v>3374213.5460846401</v>
      </c>
      <c r="AC167" s="64">
        <v>2053944.7940944801</v>
      </c>
      <c r="AD167" s="64">
        <v>1853142.2046320401</v>
      </c>
      <c r="AE167" s="64">
        <v>0</v>
      </c>
      <c r="AF167" s="64"/>
      <c r="AG167" s="64">
        <v>236522.77397279997</v>
      </c>
      <c r="AH167" s="64">
        <v>0</v>
      </c>
      <c r="AI167" s="64">
        <v>0</v>
      </c>
      <c r="AJ167" s="64">
        <v>0</v>
      </c>
      <c r="AK167" s="64">
        <v>20821763.508175142</v>
      </c>
      <c r="AL167" s="64">
        <v>5475673.8714455394</v>
      </c>
      <c r="AM167" s="64">
        <v>4373014.9959000014</v>
      </c>
      <c r="AN167" s="65">
        <v>443957.10680000001</v>
      </c>
      <c r="AO167" s="66">
        <v>846985.00555422006</v>
      </c>
      <c r="AP167" s="128">
        <f>+N167-'Приложение №2'!E176</f>
        <v>0</v>
      </c>
      <c r="AQ167" s="23">
        <f>1103126.79-79353.74-714183.7328</f>
        <v>309589.31720000005</v>
      </c>
      <c r="AR167" s="25">
        <f>+(K167*13.29+L167*22.52)*12*0.85</f>
        <v>288575.87039999996</v>
      </c>
      <c r="AS167" s="25">
        <f>+(K167*13.29+L167*22.52)*12*30-300950.5-2600695.91</f>
        <v>7283384.3099999987</v>
      </c>
      <c r="AT167" s="127">
        <f t="shared" si="52"/>
        <v>-6725122.5568206785</v>
      </c>
      <c r="AW167" s="63">
        <f t="shared" si="53"/>
        <v>1156060.93417932</v>
      </c>
      <c r="AX167" s="64"/>
      <c r="AY167" s="64"/>
      <c r="AZ167" s="64"/>
      <c r="BA167" s="64"/>
      <c r="BB167" s="64"/>
      <c r="BC167" s="64"/>
      <c r="BD167" s="64"/>
      <c r="BE167" s="64">
        <v>0</v>
      </c>
      <c r="BF167" s="64">
        <v>0</v>
      </c>
      <c r="BG167" s="64">
        <v>0</v>
      </c>
      <c r="BH167" s="64"/>
      <c r="BI167" s="64">
        <v>580989.24</v>
      </c>
      <c r="BJ167" s="64"/>
      <c r="BK167" s="65"/>
      <c r="BL167" s="66">
        <v>575071.69417932001</v>
      </c>
    </row>
    <row r="168" spans="1:64" x14ac:dyDescent="0.25">
      <c r="A168" s="122">
        <f t="shared" si="57"/>
        <v>151</v>
      </c>
      <c r="B168" s="62">
        <f t="shared" si="57"/>
        <v>151</v>
      </c>
      <c r="C168" s="62" t="s">
        <v>46</v>
      </c>
      <c r="D168" s="62" t="s">
        <v>843</v>
      </c>
      <c r="E168" s="123">
        <v>1972</v>
      </c>
      <c r="F168" s="123">
        <v>2013</v>
      </c>
      <c r="G168" s="123" t="s">
        <v>43</v>
      </c>
      <c r="H168" s="123">
        <v>4</v>
      </c>
      <c r="I168" s="123">
        <v>6</v>
      </c>
      <c r="J168" s="64">
        <v>4437.8999999999996</v>
      </c>
      <c r="K168" s="64">
        <v>4088.2</v>
      </c>
      <c r="L168" s="64">
        <v>0</v>
      </c>
      <c r="M168" s="124">
        <v>207</v>
      </c>
      <c r="N168" s="63">
        <f t="shared" si="58"/>
        <v>8066054.8088218002</v>
      </c>
      <c r="O168" s="64"/>
      <c r="P168" s="65">
        <v>2746655.59</v>
      </c>
      <c r="Q168" s="65"/>
      <c r="R168" s="65">
        <v>501539.16</v>
      </c>
      <c r="S168" s="65">
        <f>+'Приложение №2'!E177-'Приложение №1'!P168-'Приложение №1'!Q168-'Приложение №1'!R168</f>
        <v>4817860.0588218002</v>
      </c>
      <c r="T168" s="64">
        <f>+'Приложение №2'!E177-'Приложение №1'!P168-'Приложение №1'!Q168-'Приложение №1'!R168-'Приложение №1'!S168</f>
        <v>0</v>
      </c>
      <c r="U168" s="65">
        <f t="shared" si="55"/>
        <v>1973.0088569105719</v>
      </c>
      <c r="V168" s="65">
        <f t="shared" si="55"/>
        <v>1973.0088569105719</v>
      </c>
      <c r="W168" s="126">
        <v>2022</v>
      </c>
      <c r="X168" s="127" t="e">
        <f>+#REF!-'[1]Приложение №1'!$P1223</f>
        <v>#REF!</v>
      </c>
      <c r="Z168" s="63">
        <f t="shared" si="56"/>
        <v>26371012.292399999</v>
      </c>
      <c r="AA168" s="64">
        <v>12305507</v>
      </c>
      <c r="AB168" s="64">
        <v>4288000.4889749996</v>
      </c>
      <c r="AC168" s="64">
        <v>4479954.2738714404</v>
      </c>
      <c r="AD168" s="64">
        <v>3127291</v>
      </c>
      <c r="AE168" s="64">
        <v>0</v>
      </c>
      <c r="AF168" s="64"/>
      <c r="AG168" s="64">
        <v>386031.94970675994</v>
      </c>
      <c r="AH168" s="64">
        <v>0</v>
      </c>
      <c r="AI168" s="64">
        <v>0</v>
      </c>
      <c r="AJ168" s="64">
        <v>0</v>
      </c>
      <c r="AK168" s="64">
        <v>0</v>
      </c>
      <c r="AL168" s="64">
        <v>0</v>
      </c>
      <c r="AM168" s="64">
        <v>1122564.2276999999</v>
      </c>
      <c r="AN168" s="65">
        <v>134247.94030000002</v>
      </c>
      <c r="AO168" s="66">
        <v>527415.41184680001</v>
      </c>
      <c r="AP168" s="128">
        <f>+N168-'Приложение №2'!E177</f>
        <v>0</v>
      </c>
      <c r="AQ168" s="23">
        <v>1932968.35</v>
      </c>
      <c r="AR168" s="25">
        <f t="shared" ref="AR168:AR203" si="59">+(K168*10+L168*20)*12*0.85</f>
        <v>416996.39999999997</v>
      </c>
      <c r="AS168" s="25">
        <f t="shared" ref="AS168:AS176" si="60">+(K168*10+L168*20)*12*30</f>
        <v>14717520</v>
      </c>
      <c r="AT168" s="127">
        <f t="shared" si="52"/>
        <v>-9899659.9411781989</v>
      </c>
      <c r="AW168" s="63">
        <f t="shared" si="53"/>
        <v>8066054.8088218002</v>
      </c>
      <c r="AX168" s="64"/>
      <c r="AY168" s="64"/>
      <c r="AZ168" s="64">
        <v>3648621.62</v>
      </c>
      <c r="BA168" s="64">
        <v>3268542.62</v>
      </c>
      <c r="BB168" s="64">
        <v>0</v>
      </c>
      <c r="BC168" s="64"/>
      <c r="BD168" s="64"/>
      <c r="BE168" s="64">
        <v>0</v>
      </c>
      <c r="BF168" s="64">
        <v>0</v>
      </c>
      <c r="BG168" s="64">
        <v>0</v>
      </c>
      <c r="BH168" s="64">
        <v>0</v>
      </c>
      <c r="BI168" s="64">
        <v>0</v>
      </c>
      <c r="BJ168" s="64">
        <v>630230.47770000005</v>
      </c>
      <c r="BK168" s="65">
        <v>85014.565300000002</v>
      </c>
      <c r="BL168" s="66">
        <v>433645.52582179999</v>
      </c>
    </row>
    <row r="169" spans="1:64" x14ac:dyDescent="0.25">
      <c r="A169" s="122">
        <f t="shared" si="57"/>
        <v>152</v>
      </c>
      <c r="B169" s="62">
        <f t="shared" si="57"/>
        <v>152</v>
      </c>
      <c r="C169" s="62" t="s">
        <v>58</v>
      </c>
      <c r="D169" s="62" t="s">
        <v>981</v>
      </c>
      <c r="E169" s="123">
        <v>1985</v>
      </c>
      <c r="F169" s="123">
        <v>1985</v>
      </c>
      <c r="G169" s="123" t="s">
        <v>43</v>
      </c>
      <c r="H169" s="123">
        <v>5</v>
      </c>
      <c r="I169" s="123">
        <v>4</v>
      </c>
      <c r="J169" s="64">
        <v>4957.5</v>
      </c>
      <c r="K169" s="64">
        <v>4305.3999999999996</v>
      </c>
      <c r="L169" s="64">
        <v>651.20000000000005</v>
      </c>
      <c r="M169" s="124">
        <v>166</v>
      </c>
      <c r="N169" s="63">
        <f t="shared" si="58"/>
        <v>10316811.362920118</v>
      </c>
      <c r="O169" s="64"/>
      <c r="P169" s="65"/>
      <c r="Q169" s="65"/>
      <c r="R169" s="65">
        <v>2359386</v>
      </c>
      <c r="S169" s="65">
        <f>+'Приложение №2'!E178-'Приложение №1'!P169-'Приложение №1'!Q169-'Приложение №1'!R169</f>
        <v>7957425.3629201185</v>
      </c>
      <c r="T169" s="64">
        <f>+'Приложение №2'!E178-'Приложение №1'!P169-'Приложение №1'!Q169-'Приложение №1'!R169-'Приложение №1'!S169</f>
        <v>0</v>
      </c>
      <c r="U169" s="65">
        <f t="shared" si="55"/>
        <v>2081.429076972142</v>
      </c>
      <c r="V169" s="65">
        <f t="shared" si="55"/>
        <v>2081.429076972142</v>
      </c>
      <c r="W169" s="126">
        <v>2022</v>
      </c>
      <c r="X169" s="127" t="e">
        <f>+#REF!-'[1]Приложение №1'!$P1399</f>
        <v>#REF!</v>
      </c>
      <c r="Z169" s="63">
        <f t="shared" si="56"/>
        <v>19423335.669999994</v>
      </c>
      <c r="AA169" s="64">
        <v>12305784.620476618</v>
      </c>
      <c r="AB169" s="64">
        <v>4512564.0806433605</v>
      </c>
      <c r="AC169" s="64">
        <v>0</v>
      </c>
      <c r="AD169" s="64">
        <v>0</v>
      </c>
      <c r="AE169" s="64">
        <v>0</v>
      </c>
      <c r="AF169" s="64"/>
      <c r="AG169" s="64">
        <v>406248.53806487995</v>
      </c>
      <c r="AH169" s="64">
        <v>0</v>
      </c>
      <c r="AI169" s="64">
        <v>0</v>
      </c>
      <c r="AJ169" s="64">
        <v>0</v>
      </c>
      <c r="AK169" s="64">
        <v>0</v>
      </c>
      <c r="AL169" s="64">
        <v>0</v>
      </c>
      <c r="AM169" s="64">
        <v>1627838.0182</v>
      </c>
      <c r="AN169" s="65">
        <v>194233.35670000003</v>
      </c>
      <c r="AO169" s="66">
        <v>376667.05591514008</v>
      </c>
      <c r="AP169" s="128">
        <f>+N169-'Приложение №2'!E178</f>
        <v>0</v>
      </c>
      <c r="AQ169" s="23">
        <v>2028653.94</v>
      </c>
      <c r="AR169" s="25">
        <f t="shared" si="59"/>
        <v>571995.6</v>
      </c>
      <c r="AS169" s="25">
        <f t="shared" si="60"/>
        <v>20188080</v>
      </c>
      <c r="AT169" s="127">
        <f t="shared" si="52"/>
        <v>-12230654.637079882</v>
      </c>
      <c r="AW169" s="63">
        <f t="shared" si="53"/>
        <v>10316811.362920118</v>
      </c>
      <c r="AX169" s="64"/>
      <c r="AY169" s="64"/>
      <c r="AZ169" s="64">
        <v>0</v>
      </c>
      <c r="BA169" s="64">
        <v>0</v>
      </c>
      <c r="BB169" s="64">
        <v>0</v>
      </c>
      <c r="BC169" s="64"/>
      <c r="BD169" s="64"/>
      <c r="BE169" s="64">
        <v>0</v>
      </c>
      <c r="BF169" s="64">
        <v>9398785.4499999993</v>
      </c>
      <c r="BG169" s="64">
        <v>0</v>
      </c>
      <c r="BH169" s="64">
        <v>0</v>
      </c>
      <c r="BI169" s="64">
        <v>0</v>
      </c>
      <c r="BJ169" s="64"/>
      <c r="BK169" s="65"/>
      <c r="BL169" s="66">
        <v>918025.91292012006</v>
      </c>
    </row>
    <row r="170" spans="1:64" x14ac:dyDescent="0.25">
      <c r="A170" s="122">
        <f t="shared" si="57"/>
        <v>153</v>
      </c>
      <c r="B170" s="62">
        <f t="shared" si="57"/>
        <v>153</v>
      </c>
      <c r="C170" s="62" t="s">
        <v>58</v>
      </c>
      <c r="D170" s="62" t="s">
        <v>982</v>
      </c>
      <c r="E170" s="123">
        <v>1988</v>
      </c>
      <c r="F170" s="123">
        <v>1988</v>
      </c>
      <c r="G170" s="123" t="s">
        <v>43</v>
      </c>
      <c r="H170" s="123">
        <v>5</v>
      </c>
      <c r="I170" s="123">
        <v>4</v>
      </c>
      <c r="J170" s="64">
        <v>5038.3999999999996</v>
      </c>
      <c r="K170" s="64">
        <v>3442.8</v>
      </c>
      <c r="L170" s="64">
        <v>1586</v>
      </c>
      <c r="M170" s="124">
        <v>156</v>
      </c>
      <c r="N170" s="63">
        <f t="shared" si="58"/>
        <v>10050452.1841392</v>
      </c>
      <c r="O170" s="64"/>
      <c r="P170" s="65"/>
      <c r="Q170" s="65"/>
      <c r="R170" s="65">
        <v>2876903.01</v>
      </c>
      <c r="S170" s="65">
        <f>+'Приложение №2'!E179-'Приложение №1'!P170-'Приложение №1'!Q170-'Приложение №1'!R170</f>
        <v>7173549.1741391998</v>
      </c>
      <c r="T170" s="64">
        <f>+'Приложение №2'!E179-'Приложение №1'!P170-'Приложение №1'!Q170-'Приложение №1'!R170-'Приложение №1'!S170</f>
        <v>0</v>
      </c>
      <c r="U170" s="65">
        <f t="shared" si="55"/>
        <v>1998.5786239538656</v>
      </c>
      <c r="V170" s="65">
        <f t="shared" si="55"/>
        <v>1998.5786239538656</v>
      </c>
      <c r="W170" s="126">
        <v>2022</v>
      </c>
      <c r="X170" s="127" t="e">
        <f>+#REF!-'[1]Приложение №1'!$P1216</f>
        <v>#REF!</v>
      </c>
      <c r="Z170" s="63">
        <f t="shared" si="56"/>
        <v>50851543.909999996</v>
      </c>
      <c r="AA170" s="64">
        <v>12240570.226002298</v>
      </c>
      <c r="AB170" s="64">
        <v>4488649.7915120395</v>
      </c>
      <c r="AC170" s="64">
        <v>4689585.7163009401</v>
      </c>
      <c r="AD170" s="64">
        <v>0</v>
      </c>
      <c r="AE170" s="64">
        <v>0</v>
      </c>
      <c r="AF170" s="64"/>
      <c r="AG170" s="64">
        <v>404095.62569795997</v>
      </c>
      <c r="AH170" s="64">
        <v>0</v>
      </c>
      <c r="AI170" s="64">
        <v>23028460.340860799</v>
      </c>
      <c r="AJ170" s="64">
        <v>0</v>
      </c>
      <c r="AK170" s="64">
        <v>0</v>
      </c>
      <c r="AL170" s="64">
        <v>0</v>
      </c>
      <c r="AM170" s="64">
        <v>4510858.3295000009</v>
      </c>
      <c r="AN170" s="65">
        <v>508515.43910000008</v>
      </c>
      <c r="AO170" s="66">
        <v>980808.44102596026</v>
      </c>
      <c r="AP170" s="128">
        <f>+N170-'Приложение №2'!E179</f>
        <v>0</v>
      </c>
      <c r="AQ170" s="23">
        <v>2748459.05</v>
      </c>
      <c r="AR170" s="25">
        <f t="shared" si="59"/>
        <v>674709.6</v>
      </c>
      <c r="AS170" s="25">
        <f t="shared" si="60"/>
        <v>23813280</v>
      </c>
      <c r="AT170" s="127">
        <f t="shared" si="52"/>
        <v>-16639730.8258608</v>
      </c>
      <c r="AW170" s="63">
        <f t="shared" si="53"/>
        <v>10050452.1841392</v>
      </c>
      <c r="AX170" s="64"/>
      <c r="AY170" s="64"/>
      <c r="AZ170" s="64"/>
      <c r="BA170" s="64">
        <v>0</v>
      </c>
      <c r="BB170" s="64">
        <v>0</v>
      </c>
      <c r="BC170" s="64"/>
      <c r="BD170" s="64"/>
      <c r="BE170" s="64">
        <v>0</v>
      </c>
      <c r="BF170" s="64">
        <v>9546866.3969999999</v>
      </c>
      <c r="BG170" s="64">
        <v>0</v>
      </c>
      <c r="BH170" s="64">
        <v>0</v>
      </c>
      <c r="BI170" s="64">
        <v>0</v>
      </c>
      <c r="BJ170" s="64"/>
      <c r="BK170" s="65"/>
      <c r="BL170" s="66">
        <v>503585.78713919997</v>
      </c>
    </row>
    <row r="171" spans="1:64" x14ac:dyDescent="0.25">
      <c r="A171" s="122">
        <f t="shared" si="57"/>
        <v>154</v>
      </c>
      <c r="B171" s="62">
        <f t="shared" si="57"/>
        <v>154</v>
      </c>
      <c r="C171" s="62" t="s">
        <v>58</v>
      </c>
      <c r="D171" s="62" t="s">
        <v>983</v>
      </c>
      <c r="E171" s="123">
        <v>1986</v>
      </c>
      <c r="F171" s="123">
        <v>1986</v>
      </c>
      <c r="G171" s="123" t="s">
        <v>43</v>
      </c>
      <c r="H171" s="123">
        <v>5</v>
      </c>
      <c r="I171" s="123">
        <v>4</v>
      </c>
      <c r="J171" s="64">
        <v>4691.8999999999996</v>
      </c>
      <c r="K171" s="64">
        <v>4321.1000000000004</v>
      </c>
      <c r="L171" s="64">
        <v>298</v>
      </c>
      <c r="M171" s="124">
        <v>195</v>
      </c>
      <c r="N171" s="95">
        <f t="shared" si="58"/>
        <v>17029022.68593052</v>
      </c>
      <c r="O171" s="64"/>
      <c r="P171" s="65">
        <f>2000000+3030178.26</f>
        <v>5030178.26</v>
      </c>
      <c r="Q171" s="65"/>
      <c r="R171" s="65">
        <v>1064681.94</v>
      </c>
      <c r="S171" s="65">
        <f>+'Приложение №2'!E180-'Приложение №1'!P171-'Приложение №1'!Q171-'Приложение №1'!R171</f>
        <v>10934162.485930521</v>
      </c>
      <c r="T171" s="65"/>
      <c r="U171" s="64">
        <f t="shared" si="55"/>
        <v>3686.6538256219869</v>
      </c>
      <c r="V171" s="64">
        <f t="shared" si="55"/>
        <v>3686.6538256219869</v>
      </c>
      <c r="W171" s="126">
        <v>2022</v>
      </c>
      <c r="X171" s="127" t="e">
        <f>+#REF!-'[1]Приложение №1'!$P1364</f>
        <v>#REF!</v>
      </c>
      <c r="Z171" s="63">
        <f t="shared" si="56"/>
        <v>19513628.469999999</v>
      </c>
      <c r="AA171" s="64">
        <v>12362990.22966462</v>
      </c>
      <c r="AB171" s="64">
        <v>4533541.53030576</v>
      </c>
      <c r="AC171" s="64">
        <v>0</v>
      </c>
      <c r="AD171" s="64">
        <v>0</v>
      </c>
      <c r="AE171" s="64">
        <v>0</v>
      </c>
      <c r="AF171" s="64"/>
      <c r="AG171" s="64">
        <v>408137.05600247998</v>
      </c>
      <c r="AH171" s="64">
        <v>0</v>
      </c>
      <c r="AI171" s="64">
        <v>0</v>
      </c>
      <c r="AJ171" s="64">
        <v>0</v>
      </c>
      <c r="AK171" s="64">
        <v>0</v>
      </c>
      <c r="AL171" s="64">
        <v>0</v>
      </c>
      <c r="AM171" s="64">
        <v>1635405.3101999999</v>
      </c>
      <c r="AN171" s="65">
        <v>195136.28469999999</v>
      </c>
      <c r="AO171" s="66">
        <v>378418.05912714003</v>
      </c>
      <c r="AP171" s="128">
        <f>+N171-'Приложение №2'!E180</f>
        <v>0</v>
      </c>
      <c r="AQ171" s="23">
        <v>1886055.9</v>
      </c>
      <c r="AR171" s="25">
        <f t="shared" si="59"/>
        <v>501544.2</v>
      </c>
      <c r="AS171" s="25">
        <f>+(K171*10+L171*20)*12*30</f>
        <v>17701560</v>
      </c>
      <c r="AT171" s="127">
        <f t="shared" si="52"/>
        <v>-6767397.514069479</v>
      </c>
      <c r="AU171" s="127">
        <f>+P171-'[6]Приложение №1'!$P149</f>
        <v>5030178.26</v>
      </c>
      <c r="AV171" s="127">
        <f>+Q171-'[6]Приложение №1'!$Q149</f>
        <v>0</v>
      </c>
      <c r="AW171" s="63">
        <f t="shared" si="53"/>
        <v>17029022.68593052</v>
      </c>
      <c r="AX171" s="64"/>
      <c r="AY171" s="64"/>
      <c r="AZ171" s="64">
        <v>0</v>
      </c>
      <c r="BA171" s="64">
        <v>0</v>
      </c>
      <c r="BB171" s="64">
        <v>0</v>
      </c>
      <c r="BC171" s="64"/>
      <c r="BD171" s="64"/>
      <c r="BE171" s="64">
        <v>0</v>
      </c>
      <c r="BF171" s="64">
        <v>16106664.949999999</v>
      </c>
      <c r="BG171" s="64">
        <v>0</v>
      </c>
      <c r="BH171" s="64">
        <v>0</v>
      </c>
      <c r="BI171" s="64">
        <v>0</v>
      </c>
      <c r="BJ171" s="64"/>
      <c r="BK171" s="65"/>
      <c r="BL171" s="66">
        <v>922357.73593051999</v>
      </c>
    </row>
    <row r="172" spans="1:64" x14ac:dyDescent="0.25">
      <c r="A172" s="122">
        <f t="shared" si="57"/>
        <v>155</v>
      </c>
      <c r="B172" s="62">
        <f t="shared" si="57"/>
        <v>155</v>
      </c>
      <c r="C172" s="62" t="s">
        <v>73</v>
      </c>
      <c r="D172" s="62" t="s">
        <v>424</v>
      </c>
      <c r="E172" s="123">
        <v>1994</v>
      </c>
      <c r="F172" s="123">
        <v>1994</v>
      </c>
      <c r="G172" s="123" t="s">
        <v>43</v>
      </c>
      <c r="H172" s="123">
        <v>2</v>
      </c>
      <c r="I172" s="123">
        <v>2</v>
      </c>
      <c r="J172" s="64">
        <v>1089.5</v>
      </c>
      <c r="K172" s="64">
        <v>978.3</v>
      </c>
      <c r="L172" s="64">
        <v>0</v>
      </c>
      <c r="M172" s="124">
        <v>43</v>
      </c>
      <c r="N172" s="63">
        <f t="shared" si="58"/>
        <v>650224.417044</v>
      </c>
      <c r="O172" s="64"/>
      <c r="P172" s="65">
        <v>327001.24</v>
      </c>
      <c r="Q172" s="65"/>
      <c r="R172" s="65">
        <v>252886.06000000006</v>
      </c>
      <c r="S172" s="65">
        <v>35183.907044000051</v>
      </c>
      <c r="T172" s="64">
        <f>+'Приложение №2'!E181-'Приложение №1'!P172-'Приложение №1'!Q172-'Приложение №1'!R172-'Приложение №1'!S172</f>
        <v>35153.210000000021</v>
      </c>
      <c r="U172" s="65">
        <f t="shared" si="55"/>
        <v>664.64726264336093</v>
      </c>
      <c r="V172" s="65">
        <f t="shared" si="55"/>
        <v>664.64726264336093</v>
      </c>
      <c r="W172" s="126">
        <v>2022</v>
      </c>
      <c r="X172" s="127" t="e">
        <f>+#REF!-'[1]Приложение №1'!$P1242</f>
        <v>#REF!</v>
      </c>
      <c r="Z172" s="63">
        <f t="shared" si="56"/>
        <v>593748.16</v>
      </c>
      <c r="AA172" s="64">
        <v>0</v>
      </c>
      <c r="AB172" s="64">
        <v>0</v>
      </c>
      <c r="AC172" s="64">
        <v>0</v>
      </c>
      <c r="AD172" s="64">
        <v>0</v>
      </c>
      <c r="AE172" s="64">
        <v>543023.63295600004</v>
      </c>
      <c r="AF172" s="64"/>
      <c r="AG172" s="64">
        <v>0</v>
      </c>
      <c r="AH172" s="64">
        <v>0</v>
      </c>
      <c r="AI172" s="64">
        <v>0</v>
      </c>
      <c r="AJ172" s="64">
        <v>0</v>
      </c>
      <c r="AK172" s="64">
        <v>0</v>
      </c>
      <c r="AL172" s="64">
        <v>0</v>
      </c>
      <c r="AM172" s="64">
        <v>34646.21</v>
      </c>
      <c r="AN172" s="64">
        <v>4203.49</v>
      </c>
      <c r="AO172" s="66">
        <v>11874.827044000001</v>
      </c>
      <c r="AP172" s="128">
        <f>+N172-'Приложение №2'!E181</f>
        <v>0</v>
      </c>
      <c r="AQ172" s="23">
        <v>431386</v>
      </c>
      <c r="AR172" s="25">
        <f t="shared" si="59"/>
        <v>99786.599999999991</v>
      </c>
      <c r="AS172" s="25">
        <f t="shared" si="60"/>
        <v>3521880</v>
      </c>
      <c r="AT172" s="127">
        <f t="shared" si="52"/>
        <v>-3486696.092956</v>
      </c>
      <c r="AW172" s="63">
        <f t="shared" si="53"/>
        <v>650224.41704400012</v>
      </c>
      <c r="AX172" s="64">
        <v>0</v>
      </c>
      <c r="AY172" s="64">
        <v>0</v>
      </c>
      <c r="AZ172" s="64">
        <v>0</v>
      </c>
      <c r="BA172" s="64">
        <v>0</v>
      </c>
      <c r="BB172" s="64">
        <v>579887.30000000005</v>
      </c>
      <c r="BC172" s="64"/>
      <c r="BD172" s="64"/>
      <c r="BE172" s="64">
        <v>0</v>
      </c>
      <c r="BF172" s="64">
        <v>0</v>
      </c>
      <c r="BG172" s="64">
        <v>0</v>
      </c>
      <c r="BH172" s="64">
        <v>0</v>
      </c>
      <c r="BI172" s="64">
        <v>0</v>
      </c>
      <c r="BJ172" s="64">
        <v>58462.29</v>
      </c>
      <c r="BK172" s="64"/>
      <c r="BL172" s="66">
        <v>11874.827044000001</v>
      </c>
    </row>
    <row r="173" spans="1:64" x14ac:dyDescent="0.25">
      <c r="A173" s="122">
        <f t="shared" si="57"/>
        <v>156</v>
      </c>
      <c r="B173" s="62">
        <f t="shared" si="57"/>
        <v>156</v>
      </c>
      <c r="C173" s="62" t="s">
        <v>67</v>
      </c>
      <c r="D173" s="62" t="s">
        <v>858</v>
      </c>
      <c r="E173" s="123">
        <v>1982</v>
      </c>
      <c r="F173" s="123">
        <v>1982</v>
      </c>
      <c r="G173" s="123" t="s">
        <v>43</v>
      </c>
      <c r="H173" s="123">
        <v>5</v>
      </c>
      <c r="I173" s="123">
        <v>1</v>
      </c>
      <c r="J173" s="64">
        <v>982.9</v>
      </c>
      <c r="K173" s="64">
        <v>982.9</v>
      </c>
      <c r="L173" s="64">
        <v>0</v>
      </c>
      <c r="M173" s="124">
        <v>23</v>
      </c>
      <c r="N173" s="95">
        <f t="shared" si="58"/>
        <v>3842006.1097638123</v>
      </c>
      <c r="O173" s="64"/>
      <c r="P173" s="65"/>
      <c r="Q173" s="65"/>
      <c r="R173" s="65">
        <v>310089.55</v>
      </c>
      <c r="S173" s="65">
        <f>+'Приложение №2'!E182-'Приложение №1'!P173-'Приложение №1'!R173</f>
        <v>3531916.5597638125</v>
      </c>
      <c r="T173" s="65">
        <f>+'Приложение №2'!E182-'Приложение №1'!P173-'Приложение №1'!Q173-'Приложение №1'!R173-'Приложение №1'!S173</f>
        <v>0</v>
      </c>
      <c r="U173" s="64">
        <f t="shared" si="55"/>
        <v>3908.8474003090978</v>
      </c>
      <c r="V173" s="64">
        <f t="shared" si="55"/>
        <v>3908.8474003090978</v>
      </c>
      <c r="W173" s="126">
        <v>2022</v>
      </c>
      <c r="X173" s="127" t="e">
        <f>+#REF!-'[1]Приложение №1'!$P1602</f>
        <v>#REF!</v>
      </c>
      <c r="Z173" s="63">
        <f t="shared" si="56"/>
        <v>25846647.639999997</v>
      </c>
      <c r="AA173" s="64">
        <v>3015626.05896552</v>
      </c>
      <c r="AB173" s="64">
        <v>1381996.98965328</v>
      </c>
      <c r="AC173" s="64">
        <v>1398423.8962755599</v>
      </c>
      <c r="AD173" s="64">
        <v>910108.47884880006</v>
      </c>
      <c r="AE173" s="64">
        <v>0</v>
      </c>
      <c r="AF173" s="64"/>
      <c r="AG173" s="64">
        <v>91642.682540640002</v>
      </c>
      <c r="AH173" s="64">
        <v>0</v>
      </c>
      <c r="AI173" s="64">
        <v>7209302.2726031998</v>
      </c>
      <c r="AJ173" s="64">
        <v>0</v>
      </c>
      <c r="AK173" s="64">
        <v>3664064.3373272396</v>
      </c>
      <c r="AL173" s="64">
        <v>4963125.4813509602</v>
      </c>
      <c r="AM173" s="64">
        <v>2458924.8816</v>
      </c>
      <c r="AN173" s="65">
        <v>258466.47640000001</v>
      </c>
      <c r="AO173" s="66">
        <v>494966.08443480008</v>
      </c>
      <c r="AP173" s="128">
        <f>+N173-'Приложение №2'!E182</f>
        <v>0</v>
      </c>
      <c r="AQ173" s="127">
        <f>344430.27</f>
        <v>344430.27</v>
      </c>
      <c r="AR173" s="25">
        <f t="shared" si="59"/>
        <v>100255.8</v>
      </c>
      <c r="AS173" s="25">
        <f t="shared" si="60"/>
        <v>3538440</v>
      </c>
      <c r="AT173" s="127">
        <f t="shared" si="52"/>
        <v>-6523.44023618754</v>
      </c>
      <c r="AW173" s="63">
        <f t="shared" si="53"/>
        <v>3842006.1097638123</v>
      </c>
      <c r="AX173" s="64"/>
      <c r="AY173" s="64"/>
      <c r="AZ173" s="64"/>
      <c r="BA173" s="64"/>
      <c r="BB173" s="64"/>
      <c r="BC173" s="64"/>
      <c r="BD173" s="64"/>
      <c r="BE173" s="64"/>
      <c r="BF173" s="64">
        <v>1229943.21</v>
      </c>
      <c r="BG173" s="64"/>
      <c r="BH173" s="64"/>
      <c r="BI173" s="64">
        <v>2522771.4</v>
      </c>
      <c r="BJ173" s="64"/>
      <c r="BK173" s="65"/>
      <c r="BL173" s="66">
        <v>89291.499763812477</v>
      </c>
    </row>
    <row r="174" spans="1:64" x14ac:dyDescent="0.25">
      <c r="A174" s="122">
        <f t="shared" si="57"/>
        <v>157</v>
      </c>
      <c r="B174" s="62">
        <f t="shared" si="57"/>
        <v>157</v>
      </c>
      <c r="C174" s="62" t="s">
        <v>67</v>
      </c>
      <c r="D174" s="62" t="s">
        <v>859</v>
      </c>
      <c r="E174" s="123">
        <v>1979</v>
      </c>
      <c r="F174" s="123">
        <v>2013</v>
      </c>
      <c r="G174" s="123" t="s">
        <v>43</v>
      </c>
      <c r="H174" s="123">
        <v>4</v>
      </c>
      <c r="I174" s="123">
        <v>2</v>
      </c>
      <c r="J174" s="64">
        <v>1304.3</v>
      </c>
      <c r="K174" s="64">
        <v>1304.3</v>
      </c>
      <c r="L174" s="64">
        <v>0</v>
      </c>
      <c r="M174" s="124">
        <v>47</v>
      </c>
      <c r="N174" s="95">
        <f t="shared" si="58"/>
        <v>2326131.7975841798</v>
      </c>
      <c r="O174" s="64"/>
      <c r="P174" s="65"/>
      <c r="Q174" s="65"/>
      <c r="R174" s="65">
        <v>446256.02</v>
      </c>
      <c r="S174" s="65">
        <f>+'Приложение №2'!E183-'Приложение №1'!P174-'Приложение №1'!R174</f>
        <v>1879875.7775841798</v>
      </c>
      <c r="T174" s="65">
        <f>+'Приложение №2'!E183-'Приложение №1'!P174-'Приложение №1'!Q174-'Приложение №1'!R174-'Приложение №1'!S174</f>
        <v>0</v>
      </c>
      <c r="U174" s="64">
        <f t="shared" si="55"/>
        <v>1783.4331040283523</v>
      </c>
      <c r="V174" s="64">
        <f t="shared" si="55"/>
        <v>1783.4331040283523</v>
      </c>
      <c r="W174" s="126">
        <v>2022</v>
      </c>
      <c r="X174" s="127" t="e">
        <f>+#REF!-'[1]Приложение №1'!$P1221</f>
        <v>#REF!</v>
      </c>
      <c r="Z174" s="63">
        <f t="shared" si="56"/>
        <v>28614187.700000003</v>
      </c>
      <c r="AA174" s="64">
        <v>0</v>
      </c>
      <c r="AB174" s="64">
        <v>0</v>
      </c>
      <c r="AC174" s="64">
        <v>1925825.0481519001</v>
      </c>
      <c r="AD174" s="64">
        <v>1253346.5063616</v>
      </c>
      <c r="AE174" s="64">
        <v>0</v>
      </c>
      <c r="AF174" s="64"/>
      <c r="AG174" s="64">
        <v>0</v>
      </c>
      <c r="AH174" s="64">
        <v>0</v>
      </c>
      <c r="AI174" s="64">
        <v>9928216.292715</v>
      </c>
      <c r="AJ174" s="64">
        <v>0</v>
      </c>
      <c r="AK174" s="64">
        <v>5045928.4281096598</v>
      </c>
      <c r="AL174" s="64">
        <v>6834917.0833343398</v>
      </c>
      <c r="AM174" s="64">
        <v>2793370.4105000002</v>
      </c>
      <c r="AN174" s="65">
        <v>286141.87699999998</v>
      </c>
      <c r="AO174" s="66">
        <v>546442.05382749997</v>
      </c>
      <c r="AP174" s="128">
        <f>+N174-'Приложение №2'!E183</f>
        <v>0</v>
      </c>
      <c r="AQ174" s="127">
        <f>505122.22</f>
        <v>505122.22</v>
      </c>
      <c r="AR174" s="25">
        <f t="shared" si="59"/>
        <v>133038.6</v>
      </c>
      <c r="AS174" s="25">
        <f t="shared" si="60"/>
        <v>4695480</v>
      </c>
      <c r="AT174" s="127">
        <f t="shared" si="52"/>
        <v>-2815604.2224158202</v>
      </c>
      <c r="AW174" s="63">
        <f t="shared" si="53"/>
        <v>2326131.7975841798</v>
      </c>
      <c r="AX174" s="64">
        <v>0</v>
      </c>
      <c r="AY174" s="64">
        <v>0</v>
      </c>
      <c r="AZ174" s="64"/>
      <c r="BA174" s="64"/>
      <c r="BB174" s="64"/>
      <c r="BC174" s="64"/>
      <c r="BD174" s="64"/>
      <c r="BE174" s="64"/>
      <c r="BF174" s="64">
        <v>2093523.54</v>
      </c>
      <c r="BG174" s="64"/>
      <c r="BH174" s="64"/>
      <c r="BI174" s="64"/>
      <c r="BJ174" s="64"/>
      <c r="BK174" s="65"/>
      <c r="BL174" s="66">
        <v>232608.25758417978</v>
      </c>
    </row>
    <row r="175" spans="1:64" x14ac:dyDescent="0.25">
      <c r="A175" s="122">
        <f t="shared" si="57"/>
        <v>158</v>
      </c>
      <c r="B175" s="62">
        <f t="shared" si="57"/>
        <v>158</v>
      </c>
      <c r="C175" s="62" t="s">
        <v>67</v>
      </c>
      <c r="D175" s="62" t="s">
        <v>1059</v>
      </c>
      <c r="E175" s="123">
        <v>1989</v>
      </c>
      <c r="F175" s="123">
        <v>2013</v>
      </c>
      <c r="G175" s="123" t="s">
        <v>43</v>
      </c>
      <c r="H175" s="123">
        <v>5</v>
      </c>
      <c r="I175" s="123">
        <v>3</v>
      </c>
      <c r="J175" s="64">
        <v>2867.1</v>
      </c>
      <c r="K175" s="64">
        <v>2862</v>
      </c>
      <c r="L175" s="64">
        <v>0</v>
      </c>
      <c r="M175" s="124">
        <v>82</v>
      </c>
      <c r="N175" s="95">
        <f t="shared" si="58"/>
        <v>1546028.3117803601</v>
      </c>
      <c r="O175" s="64"/>
      <c r="P175" s="65"/>
      <c r="Q175" s="65"/>
      <c r="R175" s="65">
        <f>+'Приложение №2'!E184-'Приложение №1'!P175</f>
        <v>1546028.3117803601</v>
      </c>
      <c r="S175" s="65"/>
      <c r="T175" s="65"/>
      <c r="U175" s="64">
        <f t="shared" si="55"/>
        <v>540.19158343129277</v>
      </c>
      <c r="V175" s="64">
        <f t="shared" si="55"/>
        <v>540.19158343129277</v>
      </c>
      <c r="W175" s="126">
        <v>2022</v>
      </c>
      <c r="X175" s="127" t="e">
        <f>+#REF!-'[1]Приложение №1'!$P1235</f>
        <v>#REF!</v>
      </c>
      <c r="Z175" s="63">
        <f t="shared" si="56"/>
        <v>8541004.8900000006</v>
      </c>
      <c r="AA175" s="64">
        <v>0</v>
      </c>
      <c r="AB175" s="64">
        <v>0</v>
      </c>
      <c r="AC175" s="64">
        <v>4445034.5403198004</v>
      </c>
      <c r="AD175" s="64">
        <v>2892873.6360392398</v>
      </c>
      <c r="AE175" s="64">
        <v>0</v>
      </c>
      <c r="AF175" s="64"/>
      <c r="AG175" s="64">
        <v>0</v>
      </c>
      <c r="AH175" s="64">
        <v>0</v>
      </c>
      <c r="AI175" s="64">
        <v>0</v>
      </c>
      <c r="AJ175" s="64">
        <v>0</v>
      </c>
      <c r="AK175" s="64">
        <v>0</v>
      </c>
      <c r="AL175" s="64">
        <v>0</v>
      </c>
      <c r="AM175" s="64">
        <v>957221.47470000014</v>
      </c>
      <c r="AN175" s="65">
        <v>85410.048900000009</v>
      </c>
      <c r="AO175" s="66">
        <v>160465.19004096001</v>
      </c>
      <c r="AP175" s="128">
        <f>+N175-'Приложение №2'!E184</f>
        <v>0</v>
      </c>
      <c r="AQ175" s="23">
        <v>853930.16</v>
      </c>
      <c r="AR175" s="25">
        <f t="shared" si="59"/>
        <v>291924</v>
      </c>
      <c r="AS175" s="25">
        <f t="shared" si="60"/>
        <v>10303200</v>
      </c>
      <c r="AT175" s="127">
        <f t="shared" si="52"/>
        <v>-10303200</v>
      </c>
      <c r="AW175" s="63">
        <f t="shared" si="53"/>
        <v>1546028.3117803601</v>
      </c>
      <c r="AX175" s="64">
        <v>0</v>
      </c>
      <c r="AY175" s="64">
        <v>0</v>
      </c>
      <c r="AZ175" s="64"/>
      <c r="BA175" s="64"/>
      <c r="BB175" s="64"/>
      <c r="BC175" s="64"/>
      <c r="BD175" s="64"/>
      <c r="BE175" s="64"/>
      <c r="BF175" s="64"/>
      <c r="BG175" s="64"/>
      <c r="BH175" s="64">
        <v>0</v>
      </c>
      <c r="BI175" s="64">
        <v>539462.39</v>
      </c>
      <c r="BJ175" s="64"/>
      <c r="BK175" s="65"/>
      <c r="BL175" s="66">
        <v>1006565.9217803602</v>
      </c>
    </row>
    <row r="176" spans="1:64" x14ac:dyDescent="0.25">
      <c r="A176" s="122">
        <f t="shared" si="57"/>
        <v>159</v>
      </c>
      <c r="B176" s="62">
        <f t="shared" si="57"/>
        <v>159</v>
      </c>
      <c r="C176" s="62" t="s">
        <v>68</v>
      </c>
      <c r="D176" s="62" t="s">
        <v>871</v>
      </c>
      <c r="E176" s="123">
        <v>1972</v>
      </c>
      <c r="F176" s="123">
        <v>1984</v>
      </c>
      <c r="G176" s="123" t="s">
        <v>43</v>
      </c>
      <c r="H176" s="123">
        <v>4</v>
      </c>
      <c r="I176" s="123">
        <v>2</v>
      </c>
      <c r="J176" s="64">
        <v>1930.2</v>
      </c>
      <c r="K176" s="64">
        <v>1800.4</v>
      </c>
      <c r="L176" s="64">
        <v>0</v>
      </c>
      <c r="M176" s="124">
        <v>51</v>
      </c>
      <c r="N176" s="63">
        <f t="shared" si="58"/>
        <v>14861650.108344281</v>
      </c>
      <c r="O176" s="64"/>
      <c r="P176" s="65">
        <v>3669216.29</v>
      </c>
      <c r="Q176" s="65"/>
      <c r="R176" s="65">
        <v>820153.95</v>
      </c>
      <c r="S176" s="65">
        <f>+'Приложение №2'!E185-'Приложение №1'!P176-'Приложение №1'!R176-'Приложение №1'!T176</f>
        <v>6694161.2183442805</v>
      </c>
      <c r="T176" s="64">
        <v>3678118.65</v>
      </c>
      <c r="U176" s="65">
        <f t="shared" si="55"/>
        <v>8254.6379184316156</v>
      </c>
      <c r="V176" s="65">
        <f t="shared" si="55"/>
        <v>8254.6379184316156</v>
      </c>
      <c r="W176" s="126">
        <v>2022</v>
      </c>
      <c r="X176" s="127" t="e">
        <f>+#REF!-'[1]Приложение №1'!$P1261</f>
        <v>#REF!</v>
      </c>
      <c r="Z176" s="63">
        <f t="shared" si="56"/>
        <v>29490722.483319998</v>
      </c>
      <c r="AA176" s="64">
        <v>3709825.8866268601</v>
      </c>
      <c r="AB176" s="64">
        <v>1713921.9573709802</v>
      </c>
      <c r="AC176" s="64">
        <v>1736279.30300328</v>
      </c>
      <c r="AD176" s="64">
        <v>1121604.8779529999</v>
      </c>
      <c r="AE176" s="64">
        <v>0</v>
      </c>
      <c r="AF176" s="64"/>
      <c r="AG176" s="64">
        <v>0</v>
      </c>
      <c r="AH176" s="64">
        <v>0</v>
      </c>
      <c r="AI176" s="64">
        <v>8717365.728174597</v>
      </c>
      <c r="AJ176" s="64">
        <v>0</v>
      </c>
      <c r="AK176" s="64">
        <v>4503240.0913058994</v>
      </c>
      <c r="AL176" s="64">
        <v>4830668.1100000003</v>
      </c>
      <c r="AM176" s="64">
        <v>2380364.9164</v>
      </c>
      <c r="AN176" s="65">
        <v>273293.73689999996</v>
      </c>
      <c r="AO176" s="66">
        <v>504157.87558537989</v>
      </c>
      <c r="AP176" s="128">
        <f>+N176-'Приложение №2'!E185</f>
        <v>0</v>
      </c>
      <c r="AQ176" s="23">
        <v>636513.13</v>
      </c>
      <c r="AR176" s="25">
        <f t="shared" si="59"/>
        <v>183640.8</v>
      </c>
      <c r="AS176" s="25">
        <f t="shared" si="60"/>
        <v>6481440</v>
      </c>
      <c r="AT176" s="127">
        <f t="shared" si="52"/>
        <v>212721.2183442805</v>
      </c>
      <c r="AW176" s="63">
        <f t="shared" si="53"/>
        <v>14861650.108344279</v>
      </c>
      <c r="AX176" s="64">
        <v>3185792.78</v>
      </c>
      <c r="AY176" s="64">
        <v>811520.57999999984</v>
      </c>
      <c r="AZ176" s="64">
        <v>739091.37</v>
      </c>
      <c r="BA176" s="64"/>
      <c r="BB176" s="64">
        <v>0</v>
      </c>
      <c r="BC176" s="64"/>
      <c r="BD176" s="64"/>
      <c r="BE176" s="64">
        <v>0</v>
      </c>
      <c r="BF176" s="64">
        <v>5126751.9400000004</v>
      </c>
      <c r="BG176" s="64">
        <v>0</v>
      </c>
      <c r="BH176" s="64"/>
      <c r="BI176" s="64">
        <v>4617339.53</v>
      </c>
      <c r="BJ176" s="64"/>
      <c r="BK176" s="65"/>
      <c r="BL176" s="66">
        <v>381153.90834427997</v>
      </c>
    </row>
    <row r="177" spans="1:64" x14ac:dyDescent="0.25">
      <c r="A177" s="122">
        <f t="shared" si="57"/>
        <v>160</v>
      </c>
      <c r="B177" s="62">
        <f t="shared" si="57"/>
        <v>160</v>
      </c>
      <c r="C177" s="62" t="s">
        <v>69</v>
      </c>
      <c r="D177" s="62" t="s">
        <v>872</v>
      </c>
      <c r="E177" s="123">
        <v>1986</v>
      </c>
      <c r="F177" s="123">
        <v>1986</v>
      </c>
      <c r="G177" s="123" t="s">
        <v>43</v>
      </c>
      <c r="H177" s="123">
        <v>2</v>
      </c>
      <c r="I177" s="123">
        <v>3</v>
      </c>
      <c r="J177" s="64">
        <v>946.5</v>
      </c>
      <c r="K177" s="64">
        <v>797.7</v>
      </c>
      <c r="L177" s="64">
        <v>0</v>
      </c>
      <c r="M177" s="124">
        <v>25</v>
      </c>
      <c r="N177" s="63">
        <f t="shared" si="58"/>
        <v>4147111.6458220007</v>
      </c>
      <c r="O177" s="64"/>
      <c r="P177" s="65">
        <v>1957073.0933333335</v>
      </c>
      <c r="Q177" s="65"/>
      <c r="R177" s="65">
        <v>202536.72</v>
      </c>
      <c r="S177" s="65">
        <v>1050861.08</v>
      </c>
      <c r="T177" s="64">
        <v>936640.75248866691</v>
      </c>
      <c r="U177" s="65">
        <f t="shared" si="55"/>
        <v>5198.8362113852327</v>
      </c>
      <c r="V177" s="65">
        <f t="shared" si="55"/>
        <v>5198.8362113852327</v>
      </c>
      <c r="W177" s="126">
        <v>2022</v>
      </c>
      <c r="X177" s="127" t="e">
        <f>+#REF!-'[1]Приложение №1'!$P1702</f>
        <v>#REF!</v>
      </c>
      <c r="Z177" s="63">
        <f t="shared" si="56"/>
        <v>7124617.0800000001</v>
      </c>
      <c r="AA177" s="64">
        <v>0</v>
      </c>
      <c r="AB177" s="64">
        <v>0</v>
      </c>
      <c r="AC177" s="64">
        <v>0</v>
      </c>
      <c r="AD177" s="64">
        <v>0</v>
      </c>
      <c r="AE177" s="64">
        <v>0</v>
      </c>
      <c r="AF177" s="64"/>
      <c r="AG177" s="64">
        <v>0</v>
      </c>
      <c r="AH177" s="64">
        <v>0</v>
      </c>
      <c r="AI177" s="64">
        <v>0</v>
      </c>
      <c r="AJ177" s="64">
        <v>0</v>
      </c>
      <c r="AK177" s="64">
        <v>0</v>
      </c>
      <c r="AL177" s="64">
        <v>6205213.7442943193</v>
      </c>
      <c r="AM177" s="64">
        <v>712461.7080000001</v>
      </c>
      <c r="AN177" s="65">
        <v>71246.170800000007</v>
      </c>
      <c r="AO177" s="66">
        <v>135695.45690567998</v>
      </c>
      <c r="AP177" s="128">
        <f>+N177-'Приложение №2'!E186</f>
        <v>0</v>
      </c>
      <c r="AQ177" s="23">
        <f>309904.68-196260.96</f>
        <v>113643.72</v>
      </c>
      <c r="AR177" s="25">
        <f t="shared" si="59"/>
        <v>81365.399999999994</v>
      </c>
      <c r="AS177" s="25">
        <f>+(K177*10+L177*20)*12*30-2086538.92</f>
        <v>785181.08000000007</v>
      </c>
      <c r="AT177" s="127">
        <f t="shared" si="52"/>
        <v>265680</v>
      </c>
      <c r="AW177" s="63">
        <f t="shared" si="53"/>
        <v>4147111.6458220002</v>
      </c>
      <c r="AX177" s="64">
        <v>0</v>
      </c>
      <c r="AY177" s="64">
        <v>0</v>
      </c>
      <c r="AZ177" s="64">
        <v>0</v>
      </c>
      <c r="BA177" s="64">
        <v>0</v>
      </c>
      <c r="BB177" s="64">
        <v>0</v>
      </c>
      <c r="BC177" s="64"/>
      <c r="BD177" s="64"/>
      <c r="BE177" s="64">
        <v>0</v>
      </c>
      <c r="BF177" s="64">
        <v>0</v>
      </c>
      <c r="BG177" s="64">
        <v>0</v>
      </c>
      <c r="BH177" s="64">
        <v>0</v>
      </c>
      <c r="BI177" s="64">
        <v>3880712.95</v>
      </c>
      <c r="BJ177" s="64">
        <v>63874.52</v>
      </c>
      <c r="BK177" s="65">
        <v>52548.83</v>
      </c>
      <c r="BL177" s="66">
        <v>149975.34582200003</v>
      </c>
    </row>
    <row r="178" spans="1:64" x14ac:dyDescent="0.25">
      <c r="A178" s="122">
        <f t="shared" si="57"/>
        <v>161</v>
      </c>
      <c r="B178" s="62">
        <f t="shared" si="57"/>
        <v>161</v>
      </c>
      <c r="C178" s="62" t="s">
        <v>69</v>
      </c>
      <c r="D178" s="62" t="s">
        <v>873</v>
      </c>
      <c r="E178" s="123">
        <v>1986</v>
      </c>
      <c r="F178" s="123">
        <v>1986</v>
      </c>
      <c r="G178" s="123" t="s">
        <v>43</v>
      </c>
      <c r="H178" s="123">
        <v>4</v>
      </c>
      <c r="I178" s="123">
        <v>4</v>
      </c>
      <c r="J178" s="64">
        <v>3420.4</v>
      </c>
      <c r="K178" s="64">
        <v>2641.9</v>
      </c>
      <c r="L178" s="64">
        <v>0</v>
      </c>
      <c r="M178" s="124">
        <v>102</v>
      </c>
      <c r="N178" s="63">
        <f t="shared" si="58"/>
        <v>7160735.1737979995</v>
      </c>
      <c r="O178" s="64"/>
      <c r="P178" s="65"/>
      <c r="Q178" s="65"/>
      <c r="R178" s="65">
        <v>1164386.93</v>
      </c>
      <c r="S178" s="65">
        <f>+'Приложение №2'!E187-'Приложение №1'!P178-'Приложение №1'!Q178-'Приложение №1'!R178</f>
        <v>5996348.2437979998</v>
      </c>
      <c r="T178" s="64">
        <f>+'Приложение №2'!E187-'Приложение №1'!P178-'Приложение №1'!Q178-'Приложение №1'!R178-'Приложение №1'!S178</f>
        <v>0</v>
      </c>
      <c r="U178" s="65">
        <f t="shared" si="55"/>
        <v>2710.4489851235849</v>
      </c>
      <c r="V178" s="65">
        <f t="shared" si="55"/>
        <v>2710.4489851235849</v>
      </c>
      <c r="W178" s="126">
        <v>2022</v>
      </c>
      <c r="X178" s="127" t="e">
        <f>+#REF!-'[1]Приложение №1'!$P1015</f>
        <v>#REF!</v>
      </c>
      <c r="Z178" s="63">
        <f t="shared" si="56"/>
        <v>21968812.859999999</v>
      </c>
      <c r="AA178" s="64">
        <v>0</v>
      </c>
      <c r="AB178" s="64">
        <v>0</v>
      </c>
      <c r="AC178" s="64">
        <v>0</v>
      </c>
      <c r="AD178" s="64">
        <v>0</v>
      </c>
      <c r="AE178" s="64">
        <v>0</v>
      </c>
      <c r="AF178" s="64"/>
      <c r="AG178" s="64">
        <v>0</v>
      </c>
      <c r="AH178" s="64">
        <v>0</v>
      </c>
      <c r="AI178" s="64">
        <v>12571294.6707264</v>
      </c>
      <c r="AJ178" s="64">
        <v>0</v>
      </c>
      <c r="AK178" s="64">
        <v>0</v>
      </c>
      <c r="AL178" s="64">
        <v>6702211.8168390002</v>
      </c>
      <c r="AM178" s="64">
        <v>2054145.6924000001</v>
      </c>
      <c r="AN178" s="65">
        <v>219688.1286</v>
      </c>
      <c r="AO178" s="66">
        <v>421472.55143459997</v>
      </c>
      <c r="AP178" s="128">
        <f>+N178-'Приложение №2'!E187</f>
        <v>0</v>
      </c>
      <c r="AQ178" s="23">
        <v>1184809.02</v>
      </c>
      <c r="AR178" s="25">
        <f t="shared" si="59"/>
        <v>269473.8</v>
      </c>
      <c r="AS178" s="25">
        <f t="shared" ref="AS178:AS193" si="61">+(K178*10+L178*20)*12*30</f>
        <v>9510840</v>
      </c>
      <c r="AT178" s="127">
        <f t="shared" si="52"/>
        <v>-3514491.7562020002</v>
      </c>
      <c r="AW178" s="63">
        <f t="shared" si="53"/>
        <v>7160735.1737979995</v>
      </c>
      <c r="AX178" s="64">
        <v>0</v>
      </c>
      <c r="AY178" s="64">
        <v>0</v>
      </c>
      <c r="AZ178" s="64">
        <v>0</v>
      </c>
      <c r="BA178" s="64">
        <v>0</v>
      </c>
      <c r="BB178" s="64">
        <v>0</v>
      </c>
      <c r="BC178" s="64"/>
      <c r="BD178" s="64"/>
      <c r="BE178" s="64">
        <v>0</v>
      </c>
      <c r="BF178" s="64">
        <v>6406790.6799999997</v>
      </c>
      <c r="BG178" s="64">
        <v>0</v>
      </c>
      <c r="BH178" s="64">
        <v>0</v>
      </c>
      <c r="BI178" s="64"/>
      <c r="BJ178" s="64">
        <v>228114.94</v>
      </c>
      <c r="BK178" s="65">
        <v>61903.35</v>
      </c>
      <c r="BL178" s="66">
        <v>463926.20379799994</v>
      </c>
    </row>
    <row r="179" spans="1:64" x14ac:dyDescent="0.25">
      <c r="A179" s="122">
        <f t="shared" ref="A179:B194" si="62">+A178+1</f>
        <v>162</v>
      </c>
      <c r="B179" s="62">
        <f t="shared" si="62"/>
        <v>162</v>
      </c>
      <c r="C179" s="62" t="s">
        <v>69</v>
      </c>
      <c r="D179" s="62" t="s">
        <v>874</v>
      </c>
      <c r="E179" s="123">
        <v>1974</v>
      </c>
      <c r="F179" s="123">
        <v>1974</v>
      </c>
      <c r="G179" s="123" t="s">
        <v>43</v>
      </c>
      <c r="H179" s="123">
        <v>4</v>
      </c>
      <c r="I179" s="123">
        <v>4</v>
      </c>
      <c r="J179" s="64">
        <v>1999.2</v>
      </c>
      <c r="K179" s="64">
        <v>1458.9</v>
      </c>
      <c r="L179" s="64">
        <v>314.60000000000002</v>
      </c>
      <c r="M179" s="124">
        <v>57</v>
      </c>
      <c r="N179" s="63">
        <f t="shared" si="58"/>
        <v>5095856.215392</v>
      </c>
      <c r="O179" s="64"/>
      <c r="P179" s="65"/>
      <c r="Q179" s="65"/>
      <c r="R179" s="65">
        <f>+AQ179+AR179</f>
        <v>1064233.07</v>
      </c>
      <c r="S179" s="65">
        <f>+'Приложение №2'!E188-'Приложение №1'!P179-'Приложение №1'!Q179-'Приложение №1'!R179</f>
        <v>4031623.1453919997</v>
      </c>
      <c r="T179" s="64">
        <f>+'Приложение №2'!E188-'Приложение №1'!P179-'Приложение №1'!Q179-'Приложение №1'!R179-'Приложение №1'!S179</f>
        <v>0</v>
      </c>
      <c r="U179" s="65">
        <f t="shared" si="55"/>
        <v>2873.3330788790527</v>
      </c>
      <c r="V179" s="65">
        <f t="shared" si="55"/>
        <v>2873.3330788790527</v>
      </c>
      <c r="W179" s="126">
        <v>2022</v>
      </c>
      <c r="X179" s="127" t="e">
        <f>+#REF!-'[1]Приложение №1'!$P1271</f>
        <v>#REF!</v>
      </c>
      <c r="Z179" s="63">
        <f t="shared" si="56"/>
        <v>9558548.6999999993</v>
      </c>
      <c r="AA179" s="64">
        <v>0</v>
      </c>
      <c r="AB179" s="64">
        <v>0</v>
      </c>
      <c r="AC179" s="64">
        <v>0</v>
      </c>
      <c r="AD179" s="64">
        <v>0</v>
      </c>
      <c r="AE179" s="64">
        <v>0</v>
      </c>
      <c r="AF179" s="64"/>
      <c r="AG179" s="64">
        <v>0</v>
      </c>
      <c r="AH179" s="64">
        <v>0</v>
      </c>
      <c r="AI179" s="64">
        <v>8418596.1820379999</v>
      </c>
      <c r="AJ179" s="64">
        <v>0</v>
      </c>
      <c r="AK179" s="64">
        <v>0</v>
      </c>
      <c r="AL179" s="64">
        <v>0</v>
      </c>
      <c r="AM179" s="64">
        <v>860269.38299999991</v>
      </c>
      <c r="AN179" s="65">
        <v>95585.486999999994</v>
      </c>
      <c r="AO179" s="66">
        <v>184097.64796199999</v>
      </c>
      <c r="AP179" s="128">
        <f>+N179-'Приложение №2'!E188</f>
        <v>0</v>
      </c>
      <c r="AQ179" s="23">
        <v>851246.87</v>
      </c>
      <c r="AR179" s="25">
        <f t="shared" si="59"/>
        <v>212986.19999999998</v>
      </c>
      <c r="AS179" s="25">
        <f t="shared" si="61"/>
        <v>7517160</v>
      </c>
      <c r="AT179" s="127">
        <f t="shared" si="52"/>
        <v>-3485536.8546080003</v>
      </c>
      <c r="AW179" s="63">
        <f t="shared" si="53"/>
        <v>5095856.215392</v>
      </c>
      <c r="AX179" s="64">
        <v>0</v>
      </c>
      <c r="AY179" s="64">
        <v>0</v>
      </c>
      <c r="AZ179" s="64">
        <v>0</v>
      </c>
      <c r="BA179" s="64">
        <v>0</v>
      </c>
      <c r="BB179" s="64">
        <v>0</v>
      </c>
      <c r="BC179" s="64"/>
      <c r="BD179" s="64"/>
      <c r="BE179" s="64">
        <v>0</v>
      </c>
      <c r="BF179" s="64">
        <v>4786076.9400000004</v>
      </c>
      <c r="BG179" s="64">
        <v>0</v>
      </c>
      <c r="BH179" s="64">
        <v>0</v>
      </c>
      <c r="BI179" s="64">
        <v>0</v>
      </c>
      <c r="BJ179" s="64">
        <v>92267.42</v>
      </c>
      <c r="BK179" s="65">
        <v>15260</v>
      </c>
      <c r="BL179" s="66">
        <v>202251.855392</v>
      </c>
    </row>
    <row r="180" spans="1:64" x14ac:dyDescent="0.25">
      <c r="A180" s="122">
        <f t="shared" si="62"/>
        <v>163</v>
      </c>
      <c r="B180" s="62">
        <f t="shared" si="62"/>
        <v>163</v>
      </c>
      <c r="C180" s="62" t="s">
        <v>965</v>
      </c>
      <c r="D180" s="62" t="s">
        <v>914</v>
      </c>
      <c r="E180" s="123">
        <v>1988</v>
      </c>
      <c r="F180" s="123">
        <v>2011</v>
      </c>
      <c r="G180" s="123" t="s">
        <v>43</v>
      </c>
      <c r="H180" s="123">
        <v>4</v>
      </c>
      <c r="I180" s="123">
        <v>4</v>
      </c>
      <c r="J180" s="64">
        <v>4417.0200000000004</v>
      </c>
      <c r="K180" s="64">
        <v>3086.82</v>
      </c>
      <c r="L180" s="64">
        <v>1330.2</v>
      </c>
      <c r="M180" s="124">
        <v>138</v>
      </c>
      <c r="N180" s="63">
        <f t="shared" si="58"/>
        <v>5687244.3899999997</v>
      </c>
      <c r="O180" s="64"/>
      <c r="P180" s="65">
        <v>4957331.04</v>
      </c>
      <c r="Q180" s="65"/>
      <c r="R180" s="65">
        <f>+'Приложение №2'!E189-'Приложение №1'!P180</f>
        <v>729913.34999999963</v>
      </c>
      <c r="S180" s="65">
        <v>0</v>
      </c>
      <c r="T180" s="64">
        <f>+'Приложение №2'!E189-'Приложение №1'!P180-'Приложение №1'!Q180-'Приложение №1'!R180-'Приложение №1'!S180</f>
        <v>0</v>
      </c>
      <c r="U180" s="65">
        <f t="shared" si="55"/>
        <v>1287.5749690968116</v>
      </c>
      <c r="V180" s="65">
        <f t="shared" si="55"/>
        <v>1287.5749690968116</v>
      </c>
      <c r="W180" s="126">
        <v>2022</v>
      </c>
      <c r="X180" s="127" t="e">
        <f>+#REF!-'[1]Приложение №1'!$P1281</f>
        <v>#REF!</v>
      </c>
      <c r="Z180" s="63">
        <f t="shared" si="56"/>
        <v>21715352.68</v>
      </c>
      <c r="AA180" s="64">
        <v>8884367.4585665986</v>
      </c>
      <c r="AB180" s="64">
        <v>0</v>
      </c>
      <c r="AC180" s="64">
        <v>5714558.3855451001</v>
      </c>
      <c r="AD180" s="64">
        <v>4357405.7316862792</v>
      </c>
      <c r="AE180" s="64">
        <v>0</v>
      </c>
      <c r="AF180" s="64"/>
      <c r="AG180" s="64">
        <v>0</v>
      </c>
      <c r="AH180" s="64">
        <v>0</v>
      </c>
      <c r="AI180" s="64">
        <v>0</v>
      </c>
      <c r="AJ180" s="64">
        <v>0</v>
      </c>
      <c r="AK180" s="64">
        <v>0</v>
      </c>
      <c r="AL180" s="64">
        <v>0</v>
      </c>
      <c r="AM180" s="64">
        <v>2127330.9989</v>
      </c>
      <c r="AN180" s="65">
        <v>217153.52679999999</v>
      </c>
      <c r="AO180" s="66">
        <v>414536.57850202004</v>
      </c>
      <c r="AP180" s="128">
        <f>+N180-'Приложение №2'!E189</f>
        <v>0</v>
      </c>
      <c r="AQ180" s="23">
        <v>1145113.48</v>
      </c>
      <c r="AR180" s="25">
        <f t="shared" si="59"/>
        <v>586216.43999999994</v>
      </c>
      <c r="AT180" s="127"/>
      <c r="AW180" s="63">
        <f t="shared" si="53"/>
        <v>5687244.3899999997</v>
      </c>
      <c r="AX180" s="64">
        <v>5464157.29</v>
      </c>
      <c r="AY180" s="64">
        <v>0</v>
      </c>
      <c r="AZ180" s="64"/>
      <c r="BA180" s="64"/>
      <c r="BB180" s="64">
        <v>0</v>
      </c>
      <c r="BC180" s="64"/>
      <c r="BD180" s="64"/>
      <c r="BE180" s="64">
        <v>0</v>
      </c>
      <c r="BF180" s="64">
        <v>0</v>
      </c>
      <c r="BG180" s="64">
        <v>0</v>
      </c>
      <c r="BH180" s="64">
        <v>0</v>
      </c>
      <c r="BI180" s="64">
        <v>0</v>
      </c>
      <c r="BJ180" s="64"/>
      <c r="BK180" s="65"/>
      <c r="BL180" s="66">
        <v>223087.1</v>
      </c>
    </row>
    <row r="181" spans="1:64" s="74" customFormat="1" x14ac:dyDescent="0.25">
      <c r="A181" s="122">
        <f t="shared" si="62"/>
        <v>164</v>
      </c>
      <c r="B181" s="62">
        <f t="shared" si="62"/>
        <v>164</v>
      </c>
      <c r="C181" s="62" t="s">
        <v>965</v>
      </c>
      <c r="D181" s="62" t="s">
        <v>915</v>
      </c>
      <c r="E181" s="123" t="s">
        <v>104</v>
      </c>
      <c r="F181" s="123"/>
      <c r="G181" s="123" t="s">
        <v>43</v>
      </c>
      <c r="H181" s="123" t="s">
        <v>105</v>
      </c>
      <c r="I181" s="123" t="s">
        <v>105</v>
      </c>
      <c r="J181" s="64">
        <v>4395.8500000000004</v>
      </c>
      <c r="K181" s="64">
        <v>3069.35</v>
      </c>
      <c r="L181" s="64">
        <v>1326.5</v>
      </c>
      <c r="M181" s="124">
        <v>146</v>
      </c>
      <c r="N181" s="63">
        <f t="shared" si="58"/>
        <v>28300277.879999999</v>
      </c>
      <c r="O181" s="64">
        <v>0</v>
      </c>
      <c r="P181" s="65">
        <v>26747489.989999998</v>
      </c>
      <c r="Q181" s="65">
        <v>0</v>
      </c>
      <c r="R181" s="65">
        <f>+'Приложение №2'!E190-'Приложение №1'!P181</f>
        <v>1552787.8900000006</v>
      </c>
      <c r="S181" s="65"/>
      <c r="T181" s="64">
        <f>+'Приложение №2'!E190-'Приложение №1'!P181-'Приложение №1'!Q181-'Приложение №1'!R181-'Приложение №1'!S181</f>
        <v>0</v>
      </c>
      <c r="U181" s="65">
        <v>6486.13</v>
      </c>
      <c r="V181" s="65">
        <v>6486.13</v>
      </c>
      <c r="W181" s="126">
        <v>2022</v>
      </c>
      <c r="X181" s="74">
        <v>1133911.74</v>
      </c>
      <c r="Y181" s="74">
        <f>+(K181*9.1+L181*18.19)*12</f>
        <v>624721.44000000006</v>
      </c>
      <c r="AA181" s="129">
        <f>+N181-'[5]Приложение № 2'!E173</f>
        <v>26536730.199999999</v>
      </c>
      <c r="AD181" s="129">
        <f>+N181-'[5]Приложение № 2'!E173</f>
        <v>26536730.199999999</v>
      </c>
      <c r="AP181" s="128" t="s">
        <v>609</v>
      </c>
      <c r="AQ181" s="74">
        <v>1313500.1499999999</v>
      </c>
      <c r="AR181" s="25">
        <f t="shared" si="59"/>
        <v>583679.69999999995</v>
      </c>
      <c r="AS181" s="25"/>
      <c r="AT181" s="127"/>
      <c r="AW181" s="63">
        <f t="shared" si="53"/>
        <v>28300277.879999999</v>
      </c>
      <c r="AX181" s="64">
        <v>8079212.4000000004</v>
      </c>
      <c r="AY181" s="64"/>
      <c r="AZ181" s="64">
        <v>3039831.6</v>
      </c>
      <c r="BA181" s="64">
        <v>2344507</v>
      </c>
      <c r="BB181" s="64"/>
      <c r="BC181" s="64"/>
      <c r="BD181" s="64"/>
      <c r="BE181" s="64"/>
      <c r="BF181" s="64">
        <v>14009282.4</v>
      </c>
      <c r="BG181" s="64"/>
      <c r="BH181" s="64"/>
      <c r="BI181" s="64"/>
      <c r="BJ181" s="64">
        <v>700984.03</v>
      </c>
      <c r="BK181" s="65">
        <v>24000</v>
      </c>
      <c r="BL181" s="66">
        <v>102460.45</v>
      </c>
    </row>
    <row r="182" spans="1:64" s="74" customFormat="1" x14ac:dyDescent="0.25">
      <c r="A182" s="122">
        <f t="shared" si="62"/>
        <v>165</v>
      </c>
      <c r="B182" s="62">
        <f t="shared" si="62"/>
        <v>165</v>
      </c>
      <c r="C182" s="62" t="s">
        <v>965</v>
      </c>
      <c r="D182" s="62" t="s">
        <v>916</v>
      </c>
      <c r="E182" s="123" t="s">
        <v>106</v>
      </c>
      <c r="F182" s="123"/>
      <c r="G182" s="123" t="s">
        <v>43</v>
      </c>
      <c r="H182" s="123" t="s">
        <v>105</v>
      </c>
      <c r="I182" s="123" t="s">
        <v>105</v>
      </c>
      <c r="J182" s="64">
        <v>4423.49</v>
      </c>
      <c r="K182" s="64">
        <v>3088.29</v>
      </c>
      <c r="L182" s="64">
        <v>1335.2</v>
      </c>
      <c r="M182" s="124">
        <v>130</v>
      </c>
      <c r="N182" s="63">
        <f t="shared" si="58"/>
        <v>19814143.776263442</v>
      </c>
      <c r="O182" s="64">
        <v>0</v>
      </c>
      <c r="P182" s="65">
        <v>18274358.620000001</v>
      </c>
      <c r="Q182" s="65">
        <v>0</v>
      </c>
      <c r="R182" s="65">
        <f>+'Приложение №2'!E191-'Приложение №1'!P182</f>
        <v>1539785.1562634408</v>
      </c>
      <c r="S182" s="65"/>
      <c r="T182" s="64">
        <f>+'Приложение №2'!E191-'Приложение №1'!P182-'Приложение №1'!Q182-'Приложение №1'!R182-'Приложение №1'!S182</f>
        <v>0</v>
      </c>
      <c r="U182" s="65">
        <v>3634.91</v>
      </c>
      <c r="V182" s="65">
        <v>3634.91</v>
      </c>
      <c r="W182" s="126">
        <v>2022</v>
      </c>
      <c r="X182" s="74">
        <v>1155454.52</v>
      </c>
      <c r="Y182" s="74">
        <f>+(K182*9.1+L182*18.19)*12</f>
        <v>628688.72399999993</v>
      </c>
      <c r="AA182" s="129">
        <f>+N182-'[5]Приложение № 2'!E174</f>
        <v>18096299.126263443</v>
      </c>
      <c r="AD182" s="129">
        <f>+N182-'[5]Приложение № 2'!E174</f>
        <v>18096299.126263443</v>
      </c>
      <c r="AP182" s="128" t="s">
        <v>608</v>
      </c>
      <c r="AQ182" s="74">
        <v>1347428.17</v>
      </c>
      <c r="AR182" s="25">
        <f t="shared" si="59"/>
        <v>587386.38</v>
      </c>
      <c r="AS182" s="25"/>
      <c r="AT182" s="127"/>
      <c r="AW182" s="63">
        <f t="shared" si="53"/>
        <v>19814143.776263442</v>
      </c>
      <c r="AX182" s="64"/>
      <c r="AY182" s="64"/>
      <c r="AZ182" s="64">
        <v>3153436.8</v>
      </c>
      <c r="BA182" s="64">
        <v>2158646.4</v>
      </c>
      <c r="BB182" s="64"/>
      <c r="BC182" s="64"/>
      <c r="BD182" s="64"/>
      <c r="BE182" s="64"/>
      <c r="BF182" s="64">
        <v>13939516.800000001</v>
      </c>
      <c r="BG182" s="64"/>
      <c r="BH182" s="64"/>
      <c r="BI182" s="64"/>
      <c r="BJ182" s="64">
        <v>495096.03</v>
      </c>
      <c r="BK182" s="65">
        <v>24000</v>
      </c>
      <c r="BL182" s="66">
        <v>43447.74626344</v>
      </c>
    </row>
    <row r="183" spans="1:64" x14ac:dyDescent="0.25">
      <c r="A183" s="122">
        <f t="shared" si="62"/>
        <v>166</v>
      </c>
      <c r="B183" s="62">
        <f t="shared" si="62"/>
        <v>166</v>
      </c>
      <c r="C183" s="62" t="s">
        <v>965</v>
      </c>
      <c r="D183" s="62" t="s">
        <v>917</v>
      </c>
      <c r="E183" s="123">
        <v>1985</v>
      </c>
      <c r="F183" s="123">
        <v>2011</v>
      </c>
      <c r="G183" s="123" t="s">
        <v>43</v>
      </c>
      <c r="H183" s="123">
        <v>4</v>
      </c>
      <c r="I183" s="123">
        <v>4</v>
      </c>
      <c r="J183" s="64">
        <v>4469.6400000000003</v>
      </c>
      <c r="K183" s="64">
        <v>3113.04</v>
      </c>
      <c r="L183" s="64">
        <v>1356.6</v>
      </c>
      <c r="M183" s="124">
        <v>164</v>
      </c>
      <c r="N183" s="63">
        <f t="shared" si="58"/>
        <v>9802331.1099999994</v>
      </c>
      <c r="O183" s="64"/>
      <c r="P183" s="65">
        <v>9504817.1999999993</v>
      </c>
      <c r="Q183" s="65"/>
      <c r="R183" s="65">
        <f>+'Приложение №2'!E192-'Приложение №1'!P183</f>
        <v>297513.91000000015</v>
      </c>
      <c r="S183" s="65">
        <f>+'Приложение №2'!E192-'Приложение №1'!P183-'Приложение №1'!Q183-'Приложение №1'!R183</f>
        <v>0</v>
      </c>
      <c r="T183" s="64">
        <f>+'Приложение №2'!E192-'Приложение №1'!P183-'Приложение №1'!Q183-'Приложение №1'!R183-'Приложение №1'!S183</f>
        <v>0</v>
      </c>
      <c r="U183" s="65">
        <f>$N183/($K183+$L183)</f>
        <v>2193.0918619844106</v>
      </c>
      <c r="V183" s="65">
        <f>$N183/($K183+$L183)</f>
        <v>2193.0918619844106</v>
      </c>
      <c r="W183" s="126">
        <v>2022</v>
      </c>
      <c r="X183" s="127" t="e">
        <f>+#REF!-'[1]Приложение №1'!$P885</f>
        <v>#REF!</v>
      </c>
      <c r="Z183" s="63">
        <f>SUM(AA183:AO183)</f>
        <v>18138776.329999998</v>
      </c>
      <c r="AA183" s="64">
        <v>0</v>
      </c>
      <c r="AB183" s="64">
        <v>0</v>
      </c>
      <c r="AC183" s="64">
        <v>0</v>
      </c>
      <c r="AD183" s="64">
        <v>0</v>
      </c>
      <c r="AE183" s="64">
        <v>0</v>
      </c>
      <c r="AF183" s="64"/>
      <c r="AG183" s="64">
        <v>0</v>
      </c>
      <c r="AH183" s="64">
        <v>0</v>
      </c>
      <c r="AI183" s="64">
        <v>15975545.8648842</v>
      </c>
      <c r="AJ183" s="64">
        <v>0</v>
      </c>
      <c r="AK183" s="64">
        <v>0</v>
      </c>
      <c r="AL183" s="64">
        <v>0</v>
      </c>
      <c r="AM183" s="64">
        <v>1632489.8696999997</v>
      </c>
      <c r="AN183" s="65">
        <v>181387.76329999999</v>
      </c>
      <c r="AO183" s="66">
        <v>349352.8321158</v>
      </c>
      <c r="AP183" s="128">
        <f>+N183-'Приложение №2'!E192</f>
        <v>0</v>
      </c>
      <c r="AQ183" s="23">
        <v>1300474.5900000001</v>
      </c>
      <c r="AR183" s="25">
        <f t="shared" si="59"/>
        <v>594276.48</v>
      </c>
      <c r="AT183" s="127"/>
      <c r="AW183" s="63">
        <f t="shared" si="53"/>
        <v>9802331.1099999994</v>
      </c>
      <c r="AX183" s="64">
        <v>0</v>
      </c>
      <c r="AY183" s="64">
        <v>0</v>
      </c>
      <c r="AZ183" s="64">
        <v>0</v>
      </c>
      <c r="BA183" s="64">
        <v>0</v>
      </c>
      <c r="BB183" s="64">
        <v>0</v>
      </c>
      <c r="BC183" s="64"/>
      <c r="BD183" s="64"/>
      <c r="BE183" s="64">
        <v>0</v>
      </c>
      <c r="BF183" s="64">
        <v>9802331.1099999994</v>
      </c>
      <c r="BG183" s="64">
        <v>0</v>
      </c>
      <c r="BH183" s="64">
        <v>0</v>
      </c>
      <c r="BI183" s="64">
        <v>0</v>
      </c>
      <c r="BJ183" s="64"/>
      <c r="BK183" s="65"/>
      <c r="BL183" s="66"/>
    </row>
    <row r="184" spans="1:64" s="74" customFormat="1" x14ac:dyDescent="0.25">
      <c r="A184" s="122">
        <f t="shared" si="62"/>
        <v>167</v>
      </c>
      <c r="B184" s="62">
        <f t="shared" si="62"/>
        <v>167</v>
      </c>
      <c r="C184" s="62" t="s">
        <v>965</v>
      </c>
      <c r="D184" s="62" t="s">
        <v>918</v>
      </c>
      <c r="E184" s="123" t="s">
        <v>107</v>
      </c>
      <c r="F184" s="123"/>
      <c r="G184" s="123" t="s">
        <v>43</v>
      </c>
      <c r="H184" s="123" t="s">
        <v>108</v>
      </c>
      <c r="I184" s="123" t="s">
        <v>109</v>
      </c>
      <c r="J184" s="64">
        <v>8240.9</v>
      </c>
      <c r="K184" s="64">
        <v>5786.7</v>
      </c>
      <c r="L184" s="64">
        <v>2454.1999999999998</v>
      </c>
      <c r="M184" s="124">
        <v>268</v>
      </c>
      <c r="N184" s="63">
        <f t="shared" si="58"/>
        <v>16952691.299999997</v>
      </c>
      <c r="O184" s="64">
        <v>0</v>
      </c>
      <c r="P184" s="65">
        <v>14417927.800000001</v>
      </c>
      <c r="Q184" s="65">
        <v>0</v>
      </c>
      <c r="R184" s="65">
        <f>+'Приложение №2'!E193-'Приложение №1'!P184</f>
        <v>2534763.4999999963</v>
      </c>
      <c r="S184" s="65">
        <v>0</v>
      </c>
      <c r="T184" s="64">
        <f>+'Приложение №2'!E193-'Приложение №1'!P184-'Приложение №1'!Q184-'Приложение №1'!R184-'Приложение №1'!S184</f>
        <v>0</v>
      </c>
      <c r="U184" s="65">
        <v>4392.93</v>
      </c>
      <c r="V184" s="65">
        <v>4392.93</v>
      </c>
      <c r="W184" s="126">
        <v>2022</v>
      </c>
      <c r="X184" s="74">
        <v>1929907.35</v>
      </c>
      <c r="Y184" s="74">
        <f>+(K184*9.1+L184*18.19)*12</f>
        <v>1167610.4159999997</v>
      </c>
      <c r="AA184" s="129">
        <f>+N184-'[5]Приложение № 2'!E176</f>
        <v>16742652.909999996</v>
      </c>
      <c r="AD184" s="129">
        <f>+N184-'[5]Приложение № 2'!E176</f>
        <v>16742652.909999996</v>
      </c>
      <c r="AP184" s="128" t="s">
        <v>609</v>
      </c>
      <c r="AQ184" s="74">
        <v>2221538.7000000002</v>
      </c>
      <c r="AR184" s="25">
        <f t="shared" si="59"/>
        <v>1090900.2</v>
      </c>
      <c r="AS184" s="25"/>
      <c r="AT184" s="127"/>
      <c r="AW184" s="63">
        <f t="shared" si="53"/>
        <v>16952691.299999997</v>
      </c>
      <c r="AX184" s="64">
        <v>7939864.5</v>
      </c>
      <c r="AY184" s="64"/>
      <c r="AZ184" s="64">
        <v>4681160.4000000004</v>
      </c>
      <c r="BA184" s="64">
        <v>3537004.8</v>
      </c>
      <c r="BB184" s="64"/>
      <c r="BC184" s="64"/>
      <c r="BD184" s="64"/>
      <c r="BE184" s="64"/>
      <c r="BF184" s="64"/>
      <c r="BG184" s="64"/>
      <c r="BH184" s="64"/>
      <c r="BI184" s="64"/>
      <c r="BJ184" s="64">
        <v>634398.13</v>
      </c>
      <c r="BK184" s="65">
        <v>24000</v>
      </c>
      <c r="BL184" s="66">
        <v>136263.47</v>
      </c>
    </row>
    <row r="185" spans="1:64" s="74" customFormat="1" x14ac:dyDescent="0.25">
      <c r="A185" s="122">
        <f t="shared" si="62"/>
        <v>168</v>
      </c>
      <c r="B185" s="62">
        <f t="shared" si="62"/>
        <v>168</v>
      </c>
      <c r="C185" s="62" t="s">
        <v>965</v>
      </c>
      <c r="D185" s="62" t="s">
        <v>919</v>
      </c>
      <c r="E185" s="123" t="s">
        <v>104</v>
      </c>
      <c r="F185" s="123"/>
      <c r="G185" s="123" t="s">
        <v>43</v>
      </c>
      <c r="H185" s="123" t="s">
        <v>108</v>
      </c>
      <c r="I185" s="123" t="s">
        <v>101</v>
      </c>
      <c r="J185" s="64">
        <v>3960.6</v>
      </c>
      <c r="K185" s="64">
        <v>2780.6</v>
      </c>
      <c r="L185" s="64">
        <v>1180</v>
      </c>
      <c r="M185" s="124">
        <v>132</v>
      </c>
      <c r="N185" s="63">
        <f t="shared" si="58"/>
        <v>11455370.009999998</v>
      </c>
      <c r="O185" s="64">
        <v>0</v>
      </c>
      <c r="P185" s="65">
        <v>10200845.67</v>
      </c>
      <c r="Q185" s="65">
        <v>0</v>
      </c>
      <c r="R185" s="65">
        <f>+'Приложение №2'!E194-'Приложение №1'!P185</f>
        <v>1254524.339999998</v>
      </c>
      <c r="S185" s="65"/>
      <c r="T185" s="64">
        <f>+'Приложение №2'!E194-'Приложение №1'!P185-'Приложение №1'!Q185-'Приложение №1'!R185-'Приложение №1'!S185</f>
        <v>0</v>
      </c>
      <c r="U185" s="65">
        <v>4392.93</v>
      </c>
      <c r="V185" s="65">
        <v>4392.93</v>
      </c>
      <c r="W185" s="126">
        <v>2022</v>
      </c>
      <c r="X185" s="74">
        <v>1020826.36</v>
      </c>
      <c r="Y185" s="74">
        <f>+(K185*9.1+L185*18.19)*12</f>
        <v>561211.92000000004</v>
      </c>
      <c r="AA185" s="129">
        <f>+N185-'[5]Приложение № 2'!E177</f>
        <v>10659477.589999998</v>
      </c>
      <c r="AD185" s="129">
        <f>+N185-'[5]Приложение № 2'!E177</f>
        <v>10659477.589999998</v>
      </c>
      <c r="AP185" s="128" t="s">
        <v>609</v>
      </c>
      <c r="AQ185" s="74">
        <v>1131381.5</v>
      </c>
      <c r="AR185" s="25">
        <f t="shared" si="59"/>
        <v>524341.19999999995</v>
      </c>
      <c r="AS185" s="25"/>
      <c r="AT185" s="127"/>
      <c r="AW185" s="63">
        <f t="shared" si="53"/>
        <v>11455370.009999998</v>
      </c>
      <c r="AX185" s="64">
        <v>5903245.2000000002</v>
      </c>
      <c r="AY185" s="64"/>
      <c r="AZ185" s="64">
        <v>3002210.4</v>
      </c>
      <c r="BA185" s="64">
        <v>1923324</v>
      </c>
      <c r="BB185" s="64"/>
      <c r="BC185" s="64"/>
      <c r="BD185" s="64"/>
      <c r="BE185" s="64"/>
      <c r="BF185" s="64"/>
      <c r="BG185" s="64"/>
      <c r="BH185" s="64"/>
      <c r="BI185" s="64"/>
      <c r="BJ185" s="64">
        <v>516618.54</v>
      </c>
      <c r="BK185" s="65">
        <v>24000</v>
      </c>
      <c r="BL185" s="66">
        <v>85971.87</v>
      </c>
    </row>
    <row r="186" spans="1:64" s="74" customFormat="1" x14ac:dyDescent="0.25">
      <c r="A186" s="122">
        <f t="shared" si="62"/>
        <v>169</v>
      </c>
      <c r="B186" s="62">
        <f t="shared" si="62"/>
        <v>169</v>
      </c>
      <c r="C186" s="62" t="s">
        <v>965</v>
      </c>
      <c r="D186" s="62" t="s">
        <v>920</v>
      </c>
      <c r="E186" s="123" t="s">
        <v>107</v>
      </c>
      <c r="F186" s="123"/>
      <c r="G186" s="123" t="s">
        <v>43</v>
      </c>
      <c r="H186" s="123" t="s">
        <v>108</v>
      </c>
      <c r="I186" s="123" t="s">
        <v>109</v>
      </c>
      <c r="J186" s="64">
        <v>8244.17</v>
      </c>
      <c r="K186" s="64">
        <v>5789.27</v>
      </c>
      <c r="L186" s="64">
        <v>2454.9</v>
      </c>
      <c r="M186" s="124">
        <v>264</v>
      </c>
      <c r="N186" s="63">
        <f t="shared" si="58"/>
        <v>21555121.629999999</v>
      </c>
      <c r="O186" s="64">
        <v>0</v>
      </c>
      <c r="P186" s="65">
        <v>18789721.559999999</v>
      </c>
      <c r="Q186" s="65">
        <v>0</v>
      </c>
      <c r="R186" s="65">
        <f>+'Приложение №2'!E195-'Приложение №1'!P186</f>
        <v>2765400.0700000003</v>
      </c>
      <c r="S186" s="65"/>
      <c r="T186" s="64">
        <f>+'Приложение №2'!E195-'Приложение №1'!P186-'Приложение №1'!Q186-'Приложение №1'!R186-'Приложение №1'!S186</f>
        <v>0</v>
      </c>
      <c r="U186" s="65">
        <v>4392.93</v>
      </c>
      <c r="V186" s="65">
        <v>4392.93</v>
      </c>
      <c r="W186" s="126">
        <v>2022</v>
      </c>
      <c r="X186" s="74">
        <v>1958964.9</v>
      </c>
      <c r="Y186" s="74">
        <f>+(K186*9.1+L186*18.19)*12</f>
        <v>1168043.8560000001</v>
      </c>
      <c r="AA186" s="129">
        <f>+N186-'[5]Приложение № 2'!E178</f>
        <v>21169097.509999998</v>
      </c>
      <c r="AD186" s="129">
        <f>+N186-'[5]Приложение № 2'!E178</f>
        <v>21169097.509999998</v>
      </c>
      <c r="AP186" s="128" t="s">
        <v>609</v>
      </c>
      <c r="AQ186" s="74">
        <v>2343373.81</v>
      </c>
      <c r="AR186" s="25">
        <f t="shared" si="59"/>
        <v>1091305.1400000001</v>
      </c>
      <c r="AS186" s="25"/>
      <c r="AT186" s="127"/>
      <c r="AW186" s="63">
        <f t="shared" si="53"/>
        <v>21555121.629999999</v>
      </c>
      <c r="AX186" s="64">
        <v>11356723.199999999</v>
      </c>
      <c r="AY186" s="64"/>
      <c r="AZ186" s="64">
        <v>5611190.4000000004</v>
      </c>
      <c r="BA186" s="64">
        <v>3761995.2</v>
      </c>
      <c r="BB186" s="64"/>
      <c r="BC186" s="64"/>
      <c r="BD186" s="64"/>
      <c r="BE186" s="64"/>
      <c r="BF186" s="64"/>
      <c r="BG186" s="64"/>
      <c r="BH186" s="64"/>
      <c r="BI186" s="64"/>
      <c r="BJ186" s="64">
        <v>634436.54</v>
      </c>
      <c r="BK186" s="65">
        <v>24000</v>
      </c>
      <c r="BL186" s="66">
        <v>166776.29</v>
      </c>
    </row>
    <row r="187" spans="1:64" s="74" customFormat="1" x14ac:dyDescent="0.25">
      <c r="A187" s="122">
        <f t="shared" si="62"/>
        <v>170</v>
      </c>
      <c r="B187" s="62">
        <f t="shared" si="62"/>
        <v>170</v>
      </c>
      <c r="C187" s="62" t="s">
        <v>965</v>
      </c>
      <c r="D187" s="62" t="s">
        <v>921</v>
      </c>
      <c r="E187" s="123" t="s">
        <v>104</v>
      </c>
      <c r="F187" s="123"/>
      <c r="G187" s="123" t="s">
        <v>43</v>
      </c>
      <c r="H187" s="123" t="s">
        <v>108</v>
      </c>
      <c r="I187" s="123" t="s">
        <v>109</v>
      </c>
      <c r="J187" s="64">
        <v>8245.7000000000007</v>
      </c>
      <c r="K187" s="64">
        <v>5795.3</v>
      </c>
      <c r="L187" s="64">
        <v>2450.4</v>
      </c>
      <c r="M187" s="124">
        <v>271</v>
      </c>
      <c r="N187" s="63">
        <f t="shared" si="58"/>
        <v>21555080.010000002</v>
      </c>
      <c r="O187" s="64">
        <v>0</v>
      </c>
      <c r="P187" s="65">
        <v>18913345.629999999</v>
      </c>
      <c r="Q187" s="65">
        <v>0</v>
      </c>
      <c r="R187" s="65">
        <f>+'Приложение №2'!E196-'Приложение №1'!P187</f>
        <v>2641734.3800000027</v>
      </c>
      <c r="S187" s="65"/>
      <c r="T187" s="64">
        <f>+'Приложение №2'!E196-'Приложение №1'!P187-'Приложение №1'!Q187-'Приложение №1'!R187-'Приложение №1'!S187</f>
        <v>0</v>
      </c>
      <c r="U187" s="65">
        <v>4392.93</v>
      </c>
      <c r="V187" s="65">
        <v>4392.93</v>
      </c>
      <c r="W187" s="126">
        <v>2022</v>
      </c>
      <c r="X187" s="74">
        <v>1989915.91</v>
      </c>
      <c r="Y187" s="74">
        <f>+(K187*9.1+L187*18.19)*12</f>
        <v>1167720.0720000002</v>
      </c>
      <c r="AA187" s="129">
        <f>+N187-'[5]Приложение № 2'!E179</f>
        <v>21305951.59</v>
      </c>
      <c r="AD187" s="129">
        <f>+N187-'[5]Приложение № 2'!E179</f>
        <v>21305951.59</v>
      </c>
      <c r="AP187" s="128" t="s">
        <v>609</v>
      </c>
      <c r="AQ187" s="74">
        <v>2258124.61</v>
      </c>
      <c r="AR187" s="25">
        <f t="shared" si="59"/>
        <v>1091002.2</v>
      </c>
      <c r="AS187" s="25"/>
      <c r="AT187" s="127"/>
      <c r="AW187" s="63">
        <f t="shared" si="53"/>
        <v>21555080.010000002</v>
      </c>
      <c r="AX187" s="64">
        <v>11356723.199999999</v>
      </c>
      <c r="AY187" s="64"/>
      <c r="AZ187" s="64">
        <v>5611190.4000000004</v>
      </c>
      <c r="BA187" s="64">
        <v>3761995.2</v>
      </c>
      <c r="BB187" s="64"/>
      <c r="BC187" s="64"/>
      <c r="BD187" s="64"/>
      <c r="BE187" s="64"/>
      <c r="BF187" s="64"/>
      <c r="BG187" s="64"/>
      <c r="BH187" s="64"/>
      <c r="BI187" s="64"/>
      <c r="BJ187" s="64">
        <v>634394.92000000004</v>
      </c>
      <c r="BK187" s="65">
        <v>24000</v>
      </c>
      <c r="BL187" s="66">
        <v>166776.29</v>
      </c>
    </row>
    <row r="188" spans="1:64" x14ac:dyDescent="0.25">
      <c r="A188" s="122">
        <f t="shared" si="62"/>
        <v>171</v>
      </c>
      <c r="B188" s="62">
        <f t="shared" si="62"/>
        <v>171</v>
      </c>
      <c r="C188" s="62" t="s">
        <v>965</v>
      </c>
      <c r="D188" s="62" t="s">
        <v>922</v>
      </c>
      <c r="E188" s="123">
        <v>1989</v>
      </c>
      <c r="F188" s="123">
        <v>2011</v>
      </c>
      <c r="G188" s="123" t="s">
        <v>43</v>
      </c>
      <c r="H188" s="123">
        <v>5</v>
      </c>
      <c r="I188" s="123">
        <v>3</v>
      </c>
      <c r="J188" s="64">
        <v>4149.8500000000004</v>
      </c>
      <c r="K188" s="64">
        <v>2952.15</v>
      </c>
      <c r="L188" s="64">
        <v>1197.7</v>
      </c>
      <c r="M188" s="124">
        <v>135</v>
      </c>
      <c r="N188" s="63">
        <f t="shared" si="58"/>
        <v>3798455.12</v>
      </c>
      <c r="O188" s="64"/>
      <c r="P188" s="65">
        <v>2786045.63</v>
      </c>
      <c r="Q188" s="65"/>
      <c r="R188" s="65">
        <f>+'Приложение №2'!E197-'Приложение №1'!P188</f>
        <v>1012409.4900000002</v>
      </c>
      <c r="S188" s="65">
        <f>+'Приложение №2'!E197-'Приложение №1'!P188-'Приложение №1'!Q188-'Приложение №1'!R188</f>
        <v>0</v>
      </c>
      <c r="T188" s="64">
        <f>+'Приложение №2'!E197-'Приложение №1'!P188-'Приложение №1'!Q188-'Приложение №1'!R188-'Приложение №1'!S188</f>
        <v>0</v>
      </c>
      <c r="U188" s="65">
        <f t="shared" ref="U188:V205" si="63">$N188/($K188+$L188)</f>
        <v>915.32347434244605</v>
      </c>
      <c r="V188" s="65">
        <f t="shared" si="63"/>
        <v>915.32347434244605</v>
      </c>
      <c r="W188" s="126">
        <v>2022</v>
      </c>
      <c r="X188" s="127" t="e">
        <f>+#REF!-'[1]Приложение №1'!$P1286</f>
        <v>#REF!</v>
      </c>
      <c r="Z188" s="63">
        <f t="shared" ref="Z188:Z203" si="64">SUM(AA188:AO188)</f>
        <v>9087777.0999999996</v>
      </c>
      <c r="AA188" s="64">
        <v>8092901.7897546003</v>
      </c>
      <c r="AB188" s="64">
        <v>0</v>
      </c>
      <c r="AC188" s="64">
        <v>0</v>
      </c>
      <c r="AD188" s="64">
        <v>0</v>
      </c>
      <c r="AE188" s="64">
        <v>0</v>
      </c>
      <c r="AF188" s="64"/>
      <c r="AG188" s="64">
        <v>0</v>
      </c>
      <c r="AH188" s="64">
        <v>0</v>
      </c>
      <c r="AI188" s="64">
        <v>0</v>
      </c>
      <c r="AJ188" s="64">
        <v>0</v>
      </c>
      <c r="AK188" s="64">
        <v>0</v>
      </c>
      <c r="AL188" s="64">
        <v>0</v>
      </c>
      <c r="AM188" s="64">
        <v>727022.16799999995</v>
      </c>
      <c r="AN188" s="65">
        <v>90877.770999999993</v>
      </c>
      <c r="AO188" s="66">
        <v>176975.37124540002</v>
      </c>
      <c r="AP188" s="128">
        <f>+N188-'Приложение №2'!E197</f>
        <v>0</v>
      </c>
      <c r="AQ188" s="23">
        <v>1238172.51</v>
      </c>
      <c r="AR188" s="25">
        <f t="shared" si="59"/>
        <v>545450.1</v>
      </c>
      <c r="AT188" s="127"/>
      <c r="AW188" s="63">
        <f t="shared" si="53"/>
        <v>3798455.12</v>
      </c>
      <c r="AX188" s="64">
        <v>3733979.02</v>
      </c>
      <c r="AY188" s="64">
        <v>0</v>
      </c>
      <c r="AZ188" s="64">
        <v>0</v>
      </c>
      <c r="BA188" s="64">
        <v>0</v>
      </c>
      <c r="BB188" s="64">
        <v>0</v>
      </c>
      <c r="BC188" s="64"/>
      <c r="BD188" s="64"/>
      <c r="BE188" s="64">
        <v>0</v>
      </c>
      <c r="BF188" s="64">
        <v>0</v>
      </c>
      <c r="BG188" s="64">
        <v>0</v>
      </c>
      <c r="BH188" s="64">
        <v>0</v>
      </c>
      <c r="BI188" s="64">
        <v>0</v>
      </c>
      <c r="BJ188" s="64"/>
      <c r="BK188" s="65"/>
      <c r="BL188" s="66">
        <v>64476.1</v>
      </c>
    </row>
    <row r="189" spans="1:64" x14ac:dyDescent="0.25">
      <c r="A189" s="122">
        <f t="shared" si="62"/>
        <v>172</v>
      </c>
      <c r="B189" s="62">
        <f t="shared" si="62"/>
        <v>172</v>
      </c>
      <c r="C189" s="62" t="s">
        <v>965</v>
      </c>
      <c r="D189" s="62" t="s">
        <v>923</v>
      </c>
      <c r="E189" s="123">
        <v>1986</v>
      </c>
      <c r="F189" s="123">
        <v>2011</v>
      </c>
      <c r="G189" s="123" t="s">
        <v>43</v>
      </c>
      <c r="H189" s="123">
        <v>4</v>
      </c>
      <c r="I189" s="123">
        <v>2</v>
      </c>
      <c r="J189" s="64">
        <v>2202.6</v>
      </c>
      <c r="K189" s="64">
        <v>1541.4</v>
      </c>
      <c r="L189" s="64">
        <v>661.2</v>
      </c>
      <c r="M189" s="124">
        <v>88</v>
      </c>
      <c r="N189" s="63">
        <f t="shared" si="58"/>
        <v>5080860.6100000003</v>
      </c>
      <c r="O189" s="64"/>
      <c r="P189" s="65">
        <v>4921136.82</v>
      </c>
      <c r="Q189" s="65"/>
      <c r="R189" s="65">
        <f>+'Приложение №2'!E198-'Приложение №1'!P189</f>
        <v>159723.79000000004</v>
      </c>
      <c r="S189" s="65">
        <f>+'Приложение №2'!E198-'Приложение №1'!P189-'Приложение №1'!Q189-'Приложение №1'!R189</f>
        <v>0</v>
      </c>
      <c r="T189" s="64">
        <f>+'Приложение №2'!E198-'Приложение №1'!P189-'Приложение №1'!Q189-'Приложение №1'!R189-'Приложение №1'!S189</f>
        <v>0</v>
      </c>
      <c r="U189" s="65">
        <f t="shared" si="63"/>
        <v>2306.7559293562153</v>
      </c>
      <c r="V189" s="65">
        <f t="shared" si="63"/>
        <v>2306.7559293562153</v>
      </c>
      <c r="W189" s="126">
        <v>2022</v>
      </c>
      <c r="X189" s="127" t="e">
        <f>+#REF!-'[1]Приложение №1'!$P886</f>
        <v>#REF!</v>
      </c>
      <c r="Z189" s="63">
        <f t="shared" si="64"/>
        <v>8976789.9100000001</v>
      </c>
      <c r="AA189" s="64">
        <v>0</v>
      </c>
      <c r="AB189" s="64">
        <v>0</v>
      </c>
      <c r="AC189" s="64">
        <v>0</v>
      </c>
      <c r="AD189" s="64">
        <v>0</v>
      </c>
      <c r="AE189" s="64">
        <v>0</v>
      </c>
      <c r="AF189" s="64"/>
      <c r="AG189" s="64">
        <v>0</v>
      </c>
      <c r="AH189" s="64">
        <v>0</v>
      </c>
      <c r="AI189" s="64">
        <v>7906217.9453333998</v>
      </c>
      <c r="AJ189" s="64">
        <v>0</v>
      </c>
      <c r="AK189" s="64">
        <v>0</v>
      </c>
      <c r="AL189" s="64">
        <v>0</v>
      </c>
      <c r="AM189" s="64">
        <v>807911.0919</v>
      </c>
      <c r="AN189" s="65">
        <v>89767.89910000001</v>
      </c>
      <c r="AO189" s="66">
        <v>172892.97366659998</v>
      </c>
      <c r="AP189" s="128">
        <f>+N189-'Приложение №2'!E198</f>
        <v>0</v>
      </c>
      <c r="AQ189" s="23">
        <v>658488.62</v>
      </c>
      <c r="AR189" s="25">
        <f t="shared" si="59"/>
        <v>292107.59999999998</v>
      </c>
      <c r="AT189" s="127"/>
      <c r="AW189" s="63">
        <f t="shared" si="53"/>
        <v>5080860.6100000003</v>
      </c>
      <c r="AX189" s="64">
        <v>0</v>
      </c>
      <c r="AY189" s="64">
        <v>0</v>
      </c>
      <c r="AZ189" s="64">
        <v>0</v>
      </c>
      <c r="BA189" s="64">
        <v>0</v>
      </c>
      <c r="BB189" s="64">
        <v>0</v>
      </c>
      <c r="BC189" s="64"/>
      <c r="BD189" s="64"/>
      <c r="BE189" s="64">
        <v>0</v>
      </c>
      <c r="BF189" s="64">
        <v>5044368.49</v>
      </c>
      <c r="BG189" s="64">
        <v>0</v>
      </c>
      <c r="BH189" s="64">
        <v>0</v>
      </c>
      <c r="BI189" s="64">
        <v>0</v>
      </c>
      <c r="BJ189" s="64"/>
      <c r="BK189" s="65"/>
      <c r="BL189" s="66">
        <v>36492.120000000003</v>
      </c>
    </row>
    <row r="190" spans="1:64" x14ac:dyDescent="0.25">
      <c r="A190" s="122">
        <f t="shared" si="62"/>
        <v>173</v>
      </c>
      <c r="B190" s="62">
        <f t="shared" si="62"/>
        <v>173</v>
      </c>
      <c r="C190" s="62" t="s">
        <v>62</v>
      </c>
      <c r="D190" s="62" t="s">
        <v>907</v>
      </c>
      <c r="E190" s="123">
        <v>1975</v>
      </c>
      <c r="F190" s="123">
        <v>2010</v>
      </c>
      <c r="G190" s="123" t="s">
        <v>43</v>
      </c>
      <c r="H190" s="123">
        <v>4</v>
      </c>
      <c r="I190" s="123">
        <v>3</v>
      </c>
      <c r="J190" s="64">
        <v>2207.3000000000002</v>
      </c>
      <c r="K190" s="64">
        <v>1539.8</v>
      </c>
      <c r="L190" s="64">
        <v>72.900000000000006</v>
      </c>
      <c r="M190" s="124">
        <v>60</v>
      </c>
      <c r="N190" s="63">
        <f t="shared" si="58"/>
        <v>8755162.1893241219</v>
      </c>
      <c r="O190" s="64"/>
      <c r="P190" s="65">
        <v>305015.03999999998</v>
      </c>
      <c r="Q190" s="65"/>
      <c r="R190" s="65">
        <v>1072056.3099999998</v>
      </c>
      <c r="S190" s="65">
        <f>+'Приложение №2'!E199-'Приложение №1'!P190-'Приложение №1'!Q190-'Приложение №1'!R190</f>
        <v>7378090.8393241214</v>
      </c>
      <c r="T190" s="64">
        <f>+'Приложение №2'!E199-'Приложение №1'!P190-'Приложение №1'!Q190-'Приложение №1'!R190-'Приложение №1'!S190</f>
        <v>0</v>
      </c>
      <c r="U190" s="65">
        <f t="shared" si="63"/>
        <v>5428.8845968401574</v>
      </c>
      <c r="V190" s="65">
        <f t="shared" si="63"/>
        <v>5428.8845968401574</v>
      </c>
      <c r="W190" s="126">
        <v>2022</v>
      </c>
      <c r="X190" s="127" t="e">
        <f>+#REF!-'[1]Приложение №1'!$P1294</f>
        <v>#REF!</v>
      </c>
      <c r="Z190" s="63">
        <f t="shared" si="64"/>
        <v>12862454.159999998</v>
      </c>
      <c r="AA190" s="64">
        <v>0</v>
      </c>
      <c r="AB190" s="64">
        <v>0</v>
      </c>
      <c r="AC190" s="64">
        <v>1651099.99309374</v>
      </c>
      <c r="AD190" s="64">
        <v>0</v>
      </c>
      <c r="AE190" s="64">
        <v>658775.13073595997</v>
      </c>
      <c r="AF190" s="64"/>
      <c r="AG190" s="64">
        <v>0</v>
      </c>
      <c r="AH190" s="64">
        <v>0</v>
      </c>
      <c r="AI190" s="64">
        <v>0</v>
      </c>
      <c r="AJ190" s="64">
        <v>0</v>
      </c>
      <c r="AK190" s="64">
        <v>4282271.2316294406</v>
      </c>
      <c r="AL190" s="64">
        <v>4419510.2317526992</v>
      </c>
      <c r="AM190" s="64">
        <v>1481370.4040000001</v>
      </c>
      <c r="AN190" s="65">
        <v>128624.54160000001</v>
      </c>
      <c r="AO190" s="66">
        <v>240802.62718816006</v>
      </c>
      <c r="AP190" s="128">
        <f>+N190-'Приложение №2'!E199</f>
        <v>0</v>
      </c>
      <c r="AQ190" s="23">
        <v>817698.89</v>
      </c>
      <c r="AR190" s="25">
        <f t="shared" si="59"/>
        <v>171931.19999999998</v>
      </c>
      <c r="AS190" s="25">
        <f t="shared" si="61"/>
        <v>6068160</v>
      </c>
      <c r="AT190" s="127">
        <f t="shared" si="52"/>
        <v>1309930.8393241214</v>
      </c>
      <c r="AW190" s="63">
        <f t="shared" si="53"/>
        <v>8755162.1893241201</v>
      </c>
      <c r="AX190" s="64">
        <v>0</v>
      </c>
      <c r="AY190" s="64">
        <v>0</v>
      </c>
      <c r="AZ190" s="64">
        <v>1011024.23</v>
      </c>
      <c r="BA190" s="64">
        <v>0</v>
      </c>
      <c r="BB190" s="64"/>
      <c r="BC190" s="64"/>
      <c r="BD190" s="64"/>
      <c r="BE190" s="64">
        <v>0</v>
      </c>
      <c r="BF190" s="64">
        <v>0</v>
      </c>
      <c r="BG190" s="64">
        <v>0</v>
      </c>
      <c r="BH190" s="64">
        <v>4376437.43</v>
      </c>
      <c r="BI190" s="64">
        <v>3141303.98</v>
      </c>
      <c r="BJ190" s="64"/>
      <c r="BK190" s="65"/>
      <c r="BL190" s="66">
        <v>226396.54932411999</v>
      </c>
    </row>
    <row r="191" spans="1:64" x14ac:dyDescent="0.25">
      <c r="A191" s="122">
        <f t="shared" si="62"/>
        <v>174</v>
      </c>
      <c r="B191" s="62">
        <f t="shared" si="62"/>
        <v>174</v>
      </c>
      <c r="C191" s="62" t="s">
        <v>62</v>
      </c>
      <c r="D191" s="62" t="s">
        <v>908</v>
      </c>
      <c r="E191" s="123">
        <v>1968</v>
      </c>
      <c r="F191" s="123">
        <v>2010</v>
      </c>
      <c r="G191" s="123" t="s">
        <v>43</v>
      </c>
      <c r="H191" s="123">
        <v>2</v>
      </c>
      <c r="I191" s="123">
        <v>1</v>
      </c>
      <c r="J191" s="64">
        <v>395.2</v>
      </c>
      <c r="K191" s="64">
        <v>370.7</v>
      </c>
      <c r="L191" s="64">
        <v>0</v>
      </c>
      <c r="M191" s="124">
        <v>21</v>
      </c>
      <c r="N191" s="63">
        <f t="shared" si="58"/>
        <v>1521216.82339412</v>
      </c>
      <c r="O191" s="64"/>
      <c r="P191" s="65">
        <v>463367.23</v>
      </c>
      <c r="Q191" s="65"/>
      <c r="R191" s="65">
        <v>167186.07</v>
      </c>
      <c r="S191" s="65">
        <f>+'Приложение №2'!E200-P191-'Приложение №1'!Q191-'Приложение №1'!R191</f>
        <v>890663.52339411993</v>
      </c>
      <c r="T191" s="64">
        <f>+'Приложение №2'!E200-'Приложение №1'!P191-'Приложение №1'!Q191-'Приложение №1'!R191-'Приложение №1'!S191</f>
        <v>0</v>
      </c>
      <c r="U191" s="65">
        <f t="shared" si="63"/>
        <v>4103.6331896253578</v>
      </c>
      <c r="V191" s="65">
        <f t="shared" si="63"/>
        <v>4103.6331896253578</v>
      </c>
      <c r="W191" s="126">
        <v>2022</v>
      </c>
      <c r="X191" s="127" t="e">
        <f>+#REF!-'[1]Приложение №1'!$P887</f>
        <v>#REF!</v>
      </c>
      <c r="Z191" s="63">
        <f t="shared" si="64"/>
        <v>2665334.4900000002</v>
      </c>
      <c r="AA191" s="64">
        <v>0</v>
      </c>
      <c r="AB191" s="64">
        <v>0</v>
      </c>
      <c r="AC191" s="64">
        <v>0</v>
      </c>
      <c r="AD191" s="64">
        <v>0</v>
      </c>
      <c r="AE191" s="64">
        <v>0</v>
      </c>
      <c r="AF191" s="64"/>
      <c r="AG191" s="64">
        <v>0</v>
      </c>
      <c r="AH191" s="64">
        <v>0</v>
      </c>
      <c r="AI191" s="64">
        <v>0</v>
      </c>
      <c r="AJ191" s="64">
        <v>0</v>
      </c>
      <c r="AK191" s="64">
        <v>0</v>
      </c>
      <c r="AL191" s="64">
        <v>2321383.7354034605</v>
      </c>
      <c r="AM191" s="64">
        <v>266533.44900000002</v>
      </c>
      <c r="AN191" s="65">
        <v>26653.344900000004</v>
      </c>
      <c r="AO191" s="66">
        <v>50763.960696540009</v>
      </c>
      <c r="AP191" s="128">
        <f>+N191-'Приложение №2'!E200</f>
        <v>0</v>
      </c>
      <c r="AQ191" s="23">
        <v>177132.32</v>
      </c>
      <c r="AR191" s="25">
        <f t="shared" si="59"/>
        <v>37811.4</v>
      </c>
      <c r="AS191" s="25">
        <f t="shared" si="61"/>
        <v>1334520</v>
      </c>
      <c r="AT191" s="127">
        <f t="shared" si="52"/>
        <v>-443856.47660588007</v>
      </c>
      <c r="AW191" s="63">
        <f t="shared" si="53"/>
        <v>1521216.82339412</v>
      </c>
      <c r="AX191" s="64">
        <v>0</v>
      </c>
      <c r="AY191" s="64">
        <v>0</v>
      </c>
      <c r="AZ191" s="64">
        <v>256799.44</v>
      </c>
      <c r="BA191" s="64">
        <v>0</v>
      </c>
      <c r="BB191" s="64">
        <v>0</v>
      </c>
      <c r="BC191" s="64"/>
      <c r="BD191" s="64"/>
      <c r="BE191" s="64">
        <v>0</v>
      </c>
      <c r="BF191" s="64">
        <v>0</v>
      </c>
      <c r="BG191" s="64">
        <v>0</v>
      </c>
      <c r="BH191" s="64">
        <v>0</v>
      </c>
      <c r="BI191" s="64">
        <v>1206681.83</v>
      </c>
      <c r="BJ191" s="64"/>
      <c r="BK191" s="65"/>
      <c r="BL191" s="66">
        <v>57735.553394120012</v>
      </c>
    </row>
    <row r="192" spans="1:64" x14ac:dyDescent="0.25">
      <c r="A192" s="122">
        <f t="shared" si="62"/>
        <v>175</v>
      </c>
      <c r="B192" s="62">
        <f t="shared" si="62"/>
        <v>175</v>
      </c>
      <c r="C192" s="62" t="s">
        <v>63</v>
      </c>
      <c r="D192" s="62" t="s">
        <v>909</v>
      </c>
      <c r="E192" s="123">
        <v>1987</v>
      </c>
      <c r="F192" s="123">
        <v>1987</v>
      </c>
      <c r="G192" s="123" t="s">
        <v>43</v>
      </c>
      <c r="H192" s="123">
        <v>2</v>
      </c>
      <c r="I192" s="123">
        <v>2</v>
      </c>
      <c r="J192" s="64">
        <v>910.2</v>
      </c>
      <c r="K192" s="64">
        <v>783.4</v>
      </c>
      <c r="L192" s="64">
        <v>0</v>
      </c>
      <c r="M192" s="124">
        <v>32</v>
      </c>
      <c r="N192" s="63">
        <f t="shared" si="58"/>
        <v>764368.75019825995</v>
      </c>
      <c r="O192" s="64"/>
      <c r="P192" s="65"/>
      <c r="Q192" s="65"/>
      <c r="R192" s="65">
        <f>+AQ192+AR192</f>
        <v>398689.43</v>
      </c>
      <c r="S192" s="65">
        <f>+'Приложение №2'!E201-'Приложение №1'!R192</f>
        <v>365679.32019825996</v>
      </c>
      <c r="T192" s="64">
        <f>+'Приложение №2'!E201-'Приложение №1'!P192-'Приложение №1'!Q192-'Приложение №1'!R192-'Приложение №1'!S192</f>
        <v>0</v>
      </c>
      <c r="U192" s="65">
        <f t="shared" si="63"/>
        <v>975.70685498884347</v>
      </c>
      <c r="V192" s="65">
        <f t="shared" si="63"/>
        <v>975.70685498884347</v>
      </c>
      <c r="W192" s="126">
        <v>2022</v>
      </c>
      <c r="X192" s="127" t="e">
        <f>+#REF!-'[1]Приложение №1'!$P893</f>
        <v>#REF!</v>
      </c>
      <c r="Z192" s="63">
        <f t="shared" si="64"/>
        <v>1452392.59</v>
      </c>
      <c r="AA192" s="64">
        <v>0</v>
      </c>
      <c r="AB192" s="64">
        <v>0</v>
      </c>
      <c r="AC192" s="64">
        <v>672323.62980174005</v>
      </c>
      <c r="AD192" s="64">
        <v>572666.75863487995</v>
      </c>
      <c r="AE192" s="64">
        <v>0</v>
      </c>
      <c r="AF192" s="64"/>
      <c r="AG192" s="64">
        <v>0</v>
      </c>
      <c r="AH192" s="64">
        <v>0</v>
      </c>
      <c r="AI192" s="64">
        <v>0</v>
      </c>
      <c r="AJ192" s="64">
        <v>0</v>
      </c>
      <c r="AK192" s="64">
        <v>0</v>
      </c>
      <c r="AL192" s="64">
        <v>0</v>
      </c>
      <c r="AM192" s="64">
        <v>165652.85740000004</v>
      </c>
      <c r="AN192" s="65">
        <v>14523.925900000002</v>
      </c>
      <c r="AO192" s="66">
        <v>27225.418263380001</v>
      </c>
      <c r="AP192" s="128">
        <f>+N192-'Приложение №2'!E201</f>
        <v>0</v>
      </c>
      <c r="AQ192" s="23">
        <v>318782.63</v>
      </c>
      <c r="AR192" s="25">
        <f t="shared" si="59"/>
        <v>79906.8</v>
      </c>
      <c r="AS192" s="25">
        <f t="shared" si="61"/>
        <v>2820240</v>
      </c>
      <c r="AT192" s="127">
        <f t="shared" si="52"/>
        <v>-2454560.6798017402</v>
      </c>
      <c r="AW192" s="63">
        <f t="shared" si="53"/>
        <v>764368.75019825995</v>
      </c>
      <c r="AX192" s="64">
        <v>0</v>
      </c>
      <c r="AY192" s="64">
        <v>0</v>
      </c>
      <c r="AZ192" s="64">
        <v>664753.06999999995</v>
      </c>
      <c r="BA192" s="64"/>
      <c r="BB192" s="64">
        <v>0</v>
      </c>
      <c r="BC192" s="64"/>
      <c r="BD192" s="64"/>
      <c r="BE192" s="64">
        <v>0</v>
      </c>
      <c r="BF192" s="64">
        <v>0</v>
      </c>
      <c r="BG192" s="64">
        <v>0</v>
      </c>
      <c r="BH192" s="64">
        <v>0</v>
      </c>
      <c r="BI192" s="64">
        <v>0</v>
      </c>
      <c r="BJ192" s="64">
        <v>77193.931000000011</v>
      </c>
      <c r="BK192" s="65">
        <v>7719.3931000000011</v>
      </c>
      <c r="BL192" s="66">
        <v>14702.356098260001</v>
      </c>
    </row>
    <row r="193" spans="1:64" x14ac:dyDescent="0.25">
      <c r="A193" s="122">
        <f t="shared" si="62"/>
        <v>176</v>
      </c>
      <c r="B193" s="62">
        <f t="shared" si="62"/>
        <v>176</v>
      </c>
      <c r="C193" s="62" t="s">
        <v>63</v>
      </c>
      <c r="D193" s="62" t="s">
        <v>466</v>
      </c>
      <c r="E193" s="123">
        <v>1979</v>
      </c>
      <c r="F193" s="123">
        <v>2010</v>
      </c>
      <c r="G193" s="123" t="s">
        <v>43</v>
      </c>
      <c r="H193" s="123">
        <v>5</v>
      </c>
      <c r="I193" s="123">
        <v>2</v>
      </c>
      <c r="J193" s="64">
        <v>1745.5</v>
      </c>
      <c r="K193" s="64">
        <v>1575.1</v>
      </c>
      <c r="L193" s="64">
        <v>0</v>
      </c>
      <c r="M193" s="124">
        <v>61</v>
      </c>
      <c r="N193" s="63">
        <f t="shared" si="58"/>
        <v>365088.24984040001</v>
      </c>
      <c r="O193" s="64"/>
      <c r="P193" s="65"/>
      <c r="Q193" s="65"/>
      <c r="R193" s="65">
        <f>+'Приложение №2'!E202</f>
        <v>365088.24984040001</v>
      </c>
      <c r="S193" s="65">
        <f>+'Приложение №2'!E202-'Приложение №1'!R193</f>
        <v>0</v>
      </c>
      <c r="T193" s="64">
        <f>+'Приложение №2'!E202-'Приложение №1'!P193-'Приложение №1'!Q193-'Приложение №1'!R193-'Приложение №1'!S193</f>
        <v>0</v>
      </c>
      <c r="U193" s="65">
        <f t="shared" si="63"/>
        <v>231.78734673379469</v>
      </c>
      <c r="V193" s="65">
        <f t="shared" si="63"/>
        <v>231.78734673379469</v>
      </c>
      <c r="W193" s="126">
        <v>2022</v>
      </c>
      <c r="X193" s="127" t="e">
        <f>+#REF!-'[1]Приложение №1'!$P1296</f>
        <v>#REF!</v>
      </c>
      <c r="Z193" s="63">
        <f t="shared" si="64"/>
        <v>1782216.8299999998</v>
      </c>
      <c r="AA193" s="64">
        <v>0</v>
      </c>
      <c r="AB193" s="64">
        <v>0</v>
      </c>
      <c r="AC193" s="64">
        <v>0</v>
      </c>
      <c r="AD193" s="64">
        <v>847487.25615959987</v>
      </c>
      <c r="AE193" s="64">
        <v>523452.69346482004</v>
      </c>
      <c r="AF193" s="64"/>
      <c r="AG193" s="64">
        <v>0</v>
      </c>
      <c r="AH193" s="64">
        <v>0</v>
      </c>
      <c r="AI193" s="64">
        <v>0</v>
      </c>
      <c r="AJ193" s="64">
        <v>0</v>
      </c>
      <c r="AK193" s="64">
        <v>0</v>
      </c>
      <c r="AL193" s="64">
        <v>0</v>
      </c>
      <c r="AM193" s="64">
        <v>363475.03200000001</v>
      </c>
      <c r="AN193" s="65">
        <v>17822.168300000001</v>
      </c>
      <c r="AO193" s="66">
        <v>29979.68007558</v>
      </c>
      <c r="AP193" s="128">
        <f>+N193-'Приложение №2'!E202</f>
        <v>0</v>
      </c>
      <c r="AQ193" s="23">
        <f>667423.91-106073.7</f>
        <v>561350.21000000008</v>
      </c>
      <c r="AR193" s="25">
        <f t="shared" si="59"/>
        <v>160660.19999999998</v>
      </c>
      <c r="AS193" s="25">
        <f t="shared" si="61"/>
        <v>5670360</v>
      </c>
      <c r="AT193" s="127">
        <f t="shared" si="52"/>
        <v>-5670360</v>
      </c>
      <c r="AW193" s="63">
        <f t="shared" si="53"/>
        <v>365088.24984040001</v>
      </c>
      <c r="AX193" s="64">
        <v>0</v>
      </c>
      <c r="AY193" s="64">
        <v>0</v>
      </c>
      <c r="AZ193" s="64">
        <v>0</v>
      </c>
      <c r="BA193" s="64">
        <v>346555.42</v>
      </c>
      <c r="BB193" s="64"/>
      <c r="BC193" s="64"/>
      <c r="BD193" s="64"/>
      <c r="BE193" s="64">
        <v>0</v>
      </c>
      <c r="BF193" s="64">
        <v>0</v>
      </c>
      <c r="BG193" s="64">
        <v>0</v>
      </c>
      <c r="BH193" s="64">
        <v>0</v>
      </c>
      <c r="BI193" s="64">
        <v>0</v>
      </c>
      <c r="BJ193" s="64"/>
      <c r="BK193" s="65"/>
      <c r="BL193" s="66">
        <v>18532.829840399998</v>
      </c>
    </row>
    <row r="194" spans="1:64" x14ac:dyDescent="0.25">
      <c r="A194" s="122">
        <f t="shared" si="62"/>
        <v>177</v>
      </c>
      <c r="B194" s="62">
        <f t="shared" si="62"/>
        <v>177</v>
      </c>
      <c r="C194" s="62" t="s">
        <v>63</v>
      </c>
      <c r="D194" s="62" t="s">
        <v>364</v>
      </c>
      <c r="E194" s="123">
        <v>1979</v>
      </c>
      <c r="F194" s="123">
        <v>1979</v>
      </c>
      <c r="G194" s="123" t="s">
        <v>43</v>
      </c>
      <c r="H194" s="123">
        <v>5</v>
      </c>
      <c r="I194" s="123">
        <v>3</v>
      </c>
      <c r="J194" s="64">
        <v>4465.2700000000004</v>
      </c>
      <c r="K194" s="64">
        <v>4027.37</v>
      </c>
      <c r="L194" s="64">
        <v>437.9</v>
      </c>
      <c r="M194" s="124">
        <v>123</v>
      </c>
      <c r="N194" s="63">
        <f t="shared" si="58"/>
        <v>8606121.4599104002</v>
      </c>
      <c r="O194" s="64"/>
      <c r="P194" s="65"/>
      <c r="Q194" s="65"/>
      <c r="R194" s="65">
        <v>1518552.78</v>
      </c>
      <c r="S194" s="65">
        <f>+'Приложение №2'!E203-'Приложение №1'!R194</f>
        <v>7087568.6799104</v>
      </c>
      <c r="T194" s="64">
        <f>+'Приложение №2'!E203-'Приложение №1'!P194-'Приложение №1'!Q194-'Приложение №1'!R194-'Приложение №1'!S194</f>
        <v>0</v>
      </c>
      <c r="U194" s="65">
        <f t="shared" si="63"/>
        <v>1927.346265715265</v>
      </c>
      <c r="V194" s="65">
        <f t="shared" si="63"/>
        <v>1927.346265715265</v>
      </c>
      <c r="W194" s="126">
        <v>2022</v>
      </c>
      <c r="X194" s="127" t="e">
        <f>+#REF!-'[1]Приложение №1'!$P898</f>
        <v>#REF!</v>
      </c>
      <c r="Z194" s="63">
        <f t="shared" si="64"/>
        <v>15335711.040000001</v>
      </c>
      <c r="AA194" s="64">
        <v>0</v>
      </c>
      <c r="AB194" s="64">
        <v>0</v>
      </c>
      <c r="AC194" s="64">
        <v>0</v>
      </c>
      <c r="AD194" s="64">
        <v>1531596.9957119999</v>
      </c>
      <c r="AE194" s="64">
        <v>0</v>
      </c>
      <c r="AF194" s="64"/>
      <c r="AG194" s="64">
        <v>0</v>
      </c>
      <c r="AH194" s="64">
        <v>0</v>
      </c>
      <c r="AI194" s="64">
        <v>11903940.0760896</v>
      </c>
      <c r="AJ194" s="64">
        <v>0</v>
      </c>
      <c r="AK194" s="64">
        <v>0</v>
      </c>
      <c r="AL194" s="64">
        <v>0</v>
      </c>
      <c r="AM194" s="64">
        <v>1453008.8736</v>
      </c>
      <c r="AN194" s="65">
        <v>153357.11040000001</v>
      </c>
      <c r="AO194" s="66">
        <v>293807.98419839999</v>
      </c>
      <c r="AP194" s="128">
        <f>+N194-'Приложение №2'!E203</f>
        <v>0</v>
      </c>
      <c r="AQ194" s="23">
        <f>2029381.74-810307.04</f>
        <v>1219074.7</v>
      </c>
      <c r="AR194" s="25">
        <f t="shared" si="59"/>
        <v>500123.33999999991</v>
      </c>
      <c r="AS194" s="25">
        <f>+(K194*10+L194*20)*12*30-25438.56</f>
        <v>17625973.439999998</v>
      </c>
      <c r="AT194" s="127">
        <f t="shared" si="52"/>
        <v>-10538404.760089599</v>
      </c>
      <c r="AW194" s="63">
        <f t="shared" si="53"/>
        <v>8606121.4599104002</v>
      </c>
      <c r="AX194" s="64">
        <v>0</v>
      </c>
      <c r="AY194" s="64">
        <v>0</v>
      </c>
      <c r="AZ194" s="64">
        <v>0</v>
      </c>
      <c r="BA194" s="64"/>
      <c r="BB194" s="64">
        <v>0</v>
      </c>
      <c r="BC194" s="64"/>
      <c r="BD194" s="64"/>
      <c r="BE194" s="64">
        <v>0</v>
      </c>
      <c r="BF194" s="64">
        <v>8345806.3999999994</v>
      </c>
      <c r="BG194" s="64">
        <v>0</v>
      </c>
      <c r="BH194" s="64">
        <v>0</v>
      </c>
      <c r="BI194" s="64">
        <v>0</v>
      </c>
      <c r="BJ194" s="64"/>
      <c r="BK194" s="65"/>
      <c r="BL194" s="66">
        <v>260315.05991040001</v>
      </c>
    </row>
    <row r="195" spans="1:64" x14ac:dyDescent="0.25">
      <c r="A195" s="122">
        <f t="shared" ref="A195:B205" si="65">+A194+1</f>
        <v>178</v>
      </c>
      <c r="B195" s="62">
        <f t="shared" si="65"/>
        <v>178</v>
      </c>
      <c r="C195" s="62" t="s">
        <v>63</v>
      </c>
      <c r="D195" s="62" t="s">
        <v>910</v>
      </c>
      <c r="E195" s="123">
        <v>1994</v>
      </c>
      <c r="F195" s="123">
        <v>2011</v>
      </c>
      <c r="G195" s="123" t="s">
        <v>43</v>
      </c>
      <c r="H195" s="123">
        <v>5</v>
      </c>
      <c r="I195" s="123">
        <v>2</v>
      </c>
      <c r="J195" s="64">
        <v>1801.3</v>
      </c>
      <c r="K195" s="64">
        <v>1628.1</v>
      </c>
      <c r="L195" s="64">
        <v>0</v>
      </c>
      <c r="M195" s="124">
        <v>70</v>
      </c>
      <c r="N195" s="63">
        <f t="shared" si="58"/>
        <v>481793.98029292002</v>
      </c>
      <c r="O195" s="64"/>
      <c r="P195" s="65"/>
      <c r="Q195" s="65"/>
      <c r="R195" s="65">
        <f>+'Приложение №2'!E204</f>
        <v>481793.98029292002</v>
      </c>
      <c r="S195" s="65">
        <f>+'Приложение №2'!E204-'Приложение №1'!R195</f>
        <v>0</v>
      </c>
      <c r="T195" s="64">
        <f>+'Приложение №2'!E204-'Приложение №1'!P195-'Приложение №1'!Q195-'Приложение №1'!R195-'Приложение №1'!S195</f>
        <v>0</v>
      </c>
      <c r="U195" s="65">
        <f t="shared" si="63"/>
        <v>295.92407118292493</v>
      </c>
      <c r="V195" s="65">
        <f t="shared" si="63"/>
        <v>295.92407118292493</v>
      </c>
      <c r="W195" s="126">
        <v>2022</v>
      </c>
      <c r="X195" s="127" t="e">
        <f>+#REF!-'[1]Приложение №1'!$P1737</f>
        <v>#REF!</v>
      </c>
      <c r="Z195" s="63">
        <f t="shared" si="64"/>
        <v>3174451.3677607998</v>
      </c>
      <c r="AA195" s="64"/>
      <c r="AB195" s="64">
        <v>0</v>
      </c>
      <c r="AC195" s="64">
        <v>1384533.0509295599</v>
      </c>
      <c r="AD195" s="64">
        <v>894381.65855639998</v>
      </c>
      <c r="AE195" s="64">
        <v>0</v>
      </c>
      <c r="AF195" s="64"/>
      <c r="AG195" s="64">
        <v>151903.93578192001</v>
      </c>
      <c r="AH195" s="64">
        <v>0</v>
      </c>
      <c r="AI195" s="64">
        <v>0</v>
      </c>
      <c r="AJ195" s="64">
        <v>0</v>
      </c>
      <c r="AK195" s="64">
        <v>0</v>
      </c>
      <c r="AL195" s="64">
        <v>0</v>
      </c>
      <c r="AM195" s="64">
        <v>564457.80340000009</v>
      </c>
      <c r="AN195" s="65">
        <v>61326.978799999997</v>
      </c>
      <c r="AO195" s="66">
        <v>117847.94029292003</v>
      </c>
      <c r="AP195" s="128">
        <f>+N195-'Приложение №2'!E204</f>
        <v>0</v>
      </c>
      <c r="AQ195" s="23">
        <v>668373.47</v>
      </c>
      <c r="AR195" s="25">
        <f t="shared" si="59"/>
        <v>166066.19999999998</v>
      </c>
      <c r="AS195" s="25">
        <f>+(K195*10+L195*20)*12*30</f>
        <v>5861160</v>
      </c>
      <c r="AT195" s="127">
        <f t="shared" si="52"/>
        <v>-5861160</v>
      </c>
      <c r="AW195" s="63">
        <f t="shared" si="53"/>
        <v>481793.98029292002</v>
      </c>
      <c r="AX195" s="64"/>
      <c r="AY195" s="64">
        <v>0</v>
      </c>
      <c r="AZ195" s="64"/>
      <c r="BA195" s="64">
        <v>363946.04</v>
      </c>
      <c r="BB195" s="64">
        <v>0</v>
      </c>
      <c r="BC195" s="64"/>
      <c r="BD195" s="64"/>
      <c r="BE195" s="64">
        <v>0</v>
      </c>
      <c r="BF195" s="64">
        <v>0</v>
      </c>
      <c r="BG195" s="64">
        <v>0</v>
      </c>
      <c r="BH195" s="64">
        <v>0</v>
      </c>
      <c r="BI195" s="64">
        <v>0</v>
      </c>
      <c r="BJ195" s="64"/>
      <c r="BK195" s="65"/>
      <c r="BL195" s="66">
        <v>117847.94029292003</v>
      </c>
    </row>
    <row r="196" spans="1:64" x14ac:dyDescent="0.25">
      <c r="A196" s="122">
        <f t="shared" si="65"/>
        <v>179</v>
      </c>
      <c r="B196" s="62">
        <f t="shared" si="65"/>
        <v>179</v>
      </c>
      <c r="C196" s="62" t="s">
        <v>63</v>
      </c>
      <c r="D196" s="62" t="s">
        <v>468</v>
      </c>
      <c r="E196" s="123">
        <v>1979</v>
      </c>
      <c r="F196" s="123">
        <v>2009</v>
      </c>
      <c r="G196" s="123" t="s">
        <v>43</v>
      </c>
      <c r="H196" s="123">
        <v>4</v>
      </c>
      <c r="I196" s="123">
        <v>4</v>
      </c>
      <c r="J196" s="64">
        <v>4071.8</v>
      </c>
      <c r="K196" s="64">
        <v>3488.7</v>
      </c>
      <c r="L196" s="64">
        <v>0</v>
      </c>
      <c r="M196" s="124">
        <v>160</v>
      </c>
      <c r="N196" s="63">
        <f t="shared" ref="N196:N205" si="66">+P196+Q196+R196+S196+T196</f>
        <v>1379849.7611506002</v>
      </c>
      <c r="O196" s="64"/>
      <c r="P196" s="65"/>
      <c r="Q196" s="65"/>
      <c r="R196" s="65">
        <f>+AQ196+AR196</f>
        <v>1187619.0899999999</v>
      </c>
      <c r="S196" s="65">
        <f>+'Приложение №2'!E205-'Приложение №1'!R196</f>
        <v>192230.6711506003</v>
      </c>
      <c r="T196" s="64">
        <f>+'Приложение №2'!E205-'Приложение №1'!P196-'Приложение №1'!Q196-'Приложение №1'!R196-'Приложение №1'!S196</f>
        <v>0</v>
      </c>
      <c r="U196" s="65">
        <f t="shared" si="63"/>
        <v>395.51975267308745</v>
      </c>
      <c r="V196" s="65">
        <f t="shared" si="63"/>
        <v>395.51975267308745</v>
      </c>
      <c r="W196" s="126">
        <v>2022</v>
      </c>
      <c r="X196" s="127" t="e">
        <f>+#REF!-'[1]Приложение №1'!$P1306</f>
        <v>#REF!</v>
      </c>
      <c r="Z196" s="63">
        <f t="shared" si="64"/>
        <v>4761308.4000000004</v>
      </c>
      <c r="AA196" s="64">
        <v>0</v>
      </c>
      <c r="AB196" s="64">
        <v>0</v>
      </c>
      <c r="AC196" s="64">
        <v>0</v>
      </c>
      <c r="AD196" s="64">
        <v>2675095.0678494005</v>
      </c>
      <c r="AE196" s="64">
        <v>1068700.1105654999</v>
      </c>
      <c r="AF196" s="64"/>
      <c r="AG196" s="64">
        <v>0</v>
      </c>
      <c r="AH196" s="64">
        <v>0</v>
      </c>
      <c r="AI196" s="64">
        <v>0</v>
      </c>
      <c r="AJ196" s="64">
        <v>0</v>
      </c>
      <c r="AK196" s="64">
        <v>0</v>
      </c>
      <c r="AL196" s="64">
        <v>0</v>
      </c>
      <c r="AM196" s="64">
        <v>888030.91949999996</v>
      </c>
      <c r="AN196" s="65">
        <v>47613.084000000003</v>
      </c>
      <c r="AO196" s="66">
        <v>81869.218085100016</v>
      </c>
      <c r="AP196" s="128">
        <f>+N196-'Приложение №2'!E205</f>
        <v>0</v>
      </c>
      <c r="AQ196" s="23">
        <f>1427606.19-595834.5</f>
        <v>831771.69</v>
      </c>
      <c r="AR196" s="25">
        <f t="shared" si="59"/>
        <v>355847.39999999997</v>
      </c>
      <c r="AS196" s="25">
        <f>+(K196*10+L196*20)*12*30-93757.36-12468</f>
        <v>12453094.640000001</v>
      </c>
      <c r="AT196" s="127">
        <f t="shared" si="52"/>
        <v>-12260863.9688494</v>
      </c>
      <c r="AW196" s="63">
        <f t="shared" si="53"/>
        <v>1379849.7611506002</v>
      </c>
      <c r="AX196" s="64">
        <v>0</v>
      </c>
      <c r="AY196" s="64">
        <v>0</v>
      </c>
      <c r="AZ196" s="64">
        <v>0</v>
      </c>
      <c r="BA196" s="64">
        <v>1321350.8500000001</v>
      </c>
      <c r="BB196" s="64"/>
      <c r="BC196" s="64"/>
      <c r="BD196" s="64"/>
      <c r="BE196" s="64">
        <v>0</v>
      </c>
      <c r="BF196" s="64">
        <v>0</v>
      </c>
      <c r="BG196" s="64">
        <v>0</v>
      </c>
      <c r="BH196" s="64">
        <v>0</v>
      </c>
      <c r="BI196" s="64">
        <v>0</v>
      </c>
      <c r="BJ196" s="64"/>
      <c r="BK196" s="65"/>
      <c r="BL196" s="66">
        <v>58498.911150600004</v>
      </c>
    </row>
    <row r="197" spans="1:64" x14ac:dyDescent="0.25">
      <c r="A197" s="122">
        <f t="shared" si="65"/>
        <v>180</v>
      </c>
      <c r="B197" s="62">
        <f t="shared" si="65"/>
        <v>180</v>
      </c>
      <c r="C197" s="62" t="s">
        <v>63</v>
      </c>
      <c r="D197" s="62" t="s">
        <v>365</v>
      </c>
      <c r="E197" s="123">
        <v>1973</v>
      </c>
      <c r="F197" s="123">
        <v>2010</v>
      </c>
      <c r="G197" s="123" t="s">
        <v>43</v>
      </c>
      <c r="H197" s="123">
        <v>5</v>
      </c>
      <c r="I197" s="123">
        <v>4</v>
      </c>
      <c r="J197" s="64">
        <v>3449.3</v>
      </c>
      <c r="K197" s="64">
        <v>3117.4</v>
      </c>
      <c r="L197" s="64">
        <v>171.7</v>
      </c>
      <c r="M197" s="124">
        <v>147</v>
      </c>
      <c r="N197" s="63">
        <f t="shared" si="66"/>
        <v>3552408.6974952403</v>
      </c>
      <c r="O197" s="64"/>
      <c r="P197" s="65">
        <v>731499.76793584833</v>
      </c>
      <c r="Q197" s="65"/>
      <c r="R197" s="65">
        <f>+'Приложение №2'!E206-'Приложение №1'!P197-'Приложение №1'!S197</f>
        <v>299122.24749524007</v>
      </c>
      <c r="S197" s="65">
        <v>2521786.6820641519</v>
      </c>
      <c r="T197" s="64">
        <f>+'Приложение №2'!E206-'Приложение №1'!P197-'Приложение №1'!Q197-'Приложение №1'!R197-'Приложение №1'!S197</f>
        <v>0</v>
      </c>
      <c r="U197" s="65">
        <f t="shared" si="63"/>
        <v>1080.0549382795416</v>
      </c>
      <c r="V197" s="65">
        <f t="shared" si="63"/>
        <v>1080.0549382795416</v>
      </c>
      <c r="W197" s="126">
        <v>2022</v>
      </c>
      <c r="X197" s="127" t="e">
        <f>+#REF!-'[1]Приложение №1'!$P1308</f>
        <v>#REF!</v>
      </c>
      <c r="Z197" s="63">
        <f t="shared" si="64"/>
        <v>17920574.470533662</v>
      </c>
      <c r="AA197" s="64"/>
      <c r="AB197" s="64">
        <v>0</v>
      </c>
      <c r="AC197" s="64">
        <v>0</v>
      </c>
      <c r="AD197" s="64">
        <v>0</v>
      </c>
      <c r="AE197" s="64">
        <v>1035545.4729408602</v>
      </c>
      <c r="AF197" s="64"/>
      <c r="AG197" s="64">
        <v>0</v>
      </c>
      <c r="AH197" s="64">
        <v>0</v>
      </c>
      <c r="AI197" s="64">
        <v>0</v>
      </c>
      <c r="AJ197" s="64">
        <v>0</v>
      </c>
      <c r="AK197" s="64">
        <v>6731411.6906387396</v>
      </c>
      <c r="AL197" s="64">
        <v>6947141.1784660202</v>
      </c>
      <c r="AM197" s="64">
        <v>2528780.7582</v>
      </c>
      <c r="AN197" s="65">
        <v>234660.19320000001</v>
      </c>
      <c r="AO197" s="66">
        <v>443035.17708804004</v>
      </c>
      <c r="AP197" s="128">
        <f>+N197-'Приложение №2'!E206</f>
        <v>0</v>
      </c>
      <c r="AQ197" s="23">
        <f>1240910.11-689425.44-282620.64</f>
        <v>268864.03000000014</v>
      </c>
      <c r="AR197" s="25">
        <f t="shared" si="59"/>
        <v>353001.6</v>
      </c>
      <c r="AS197" s="25">
        <f>+(K197*10+L197*20)*12*30-3027646.57-12468.88</f>
        <v>9418764.5499999989</v>
      </c>
      <c r="AT197" s="127">
        <f t="shared" si="52"/>
        <v>-6896977.8679358475</v>
      </c>
      <c r="AW197" s="63">
        <f t="shared" si="53"/>
        <v>3552408.6974952403</v>
      </c>
      <c r="AX197" s="64"/>
      <c r="AY197" s="64">
        <v>0</v>
      </c>
      <c r="AZ197" s="64">
        <v>0</v>
      </c>
      <c r="BA197" s="64">
        <v>0</v>
      </c>
      <c r="BB197" s="64"/>
      <c r="BC197" s="64"/>
      <c r="BD197" s="64"/>
      <c r="BE197" s="64">
        <v>0</v>
      </c>
      <c r="BF197" s="64">
        <v>0</v>
      </c>
      <c r="BG197" s="64">
        <v>0</v>
      </c>
      <c r="BH197" s="64"/>
      <c r="BI197" s="64">
        <v>3253286.45</v>
      </c>
      <c r="BJ197" s="64"/>
      <c r="BK197" s="65"/>
      <c r="BL197" s="66">
        <v>299122.24749524001</v>
      </c>
    </row>
    <row r="198" spans="1:64" x14ac:dyDescent="0.25">
      <c r="A198" s="122">
        <f t="shared" si="65"/>
        <v>181</v>
      </c>
      <c r="B198" s="62">
        <f t="shared" si="65"/>
        <v>181</v>
      </c>
      <c r="C198" s="62" t="s">
        <v>63</v>
      </c>
      <c r="D198" s="62" t="s">
        <v>897</v>
      </c>
      <c r="E198" s="123">
        <v>1985</v>
      </c>
      <c r="F198" s="123">
        <v>2011</v>
      </c>
      <c r="G198" s="123" t="s">
        <v>43</v>
      </c>
      <c r="H198" s="123">
        <v>5</v>
      </c>
      <c r="I198" s="123">
        <v>2</v>
      </c>
      <c r="J198" s="64">
        <v>1696.6</v>
      </c>
      <c r="K198" s="64">
        <v>1532.2</v>
      </c>
      <c r="L198" s="64">
        <v>54.4</v>
      </c>
      <c r="M198" s="124">
        <v>58</v>
      </c>
      <c r="N198" s="63">
        <f t="shared" si="66"/>
        <v>1178970.48751072</v>
      </c>
      <c r="O198" s="64"/>
      <c r="P198" s="65">
        <v>0</v>
      </c>
      <c r="Q198" s="65"/>
      <c r="R198" s="65">
        <f>+AQ198+AR198</f>
        <v>827589.23</v>
      </c>
      <c r="S198" s="65">
        <f>+'Приложение №2'!E207-'Приложение №1'!R198</f>
        <v>351381.25751072005</v>
      </c>
      <c r="T198" s="64">
        <f>+'Приложение №2'!E207-'Приложение №1'!P198-'Приложение №1'!Q198-'Приложение №1'!R198-'Приложение №1'!S198</f>
        <v>0</v>
      </c>
      <c r="U198" s="65">
        <f t="shared" si="63"/>
        <v>743.0798484247573</v>
      </c>
      <c r="V198" s="65">
        <f t="shared" si="63"/>
        <v>743.0798484247573</v>
      </c>
      <c r="W198" s="126">
        <v>2022</v>
      </c>
      <c r="X198" s="127" t="e">
        <f>+#REF!-'[1]Приложение №1'!$P903</f>
        <v>#REF!</v>
      </c>
      <c r="Z198" s="63">
        <f t="shared" si="64"/>
        <v>6417929.1893379986</v>
      </c>
      <c r="AA198" s="64">
        <v>2736613.7104324196</v>
      </c>
      <c r="AB198" s="64">
        <v>0</v>
      </c>
      <c r="AC198" s="64">
        <v>1280803.3788694199</v>
      </c>
      <c r="AD198" s="64">
        <v>849765.59</v>
      </c>
      <c r="AE198" s="64">
        <v>511029.86662728002</v>
      </c>
      <c r="AF198" s="64"/>
      <c r="AG198" s="64">
        <v>140523.24640871998</v>
      </c>
      <c r="AH198" s="64">
        <v>0</v>
      </c>
      <c r="AI198" s="64">
        <v>0</v>
      </c>
      <c r="AJ198" s="64">
        <v>0</v>
      </c>
      <c r="AK198" s="64">
        <v>0</v>
      </c>
      <c r="AL198" s="64">
        <v>0</v>
      </c>
      <c r="AM198" s="64">
        <v>731735.25000000012</v>
      </c>
      <c r="AN198" s="65">
        <v>56969.515600000006</v>
      </c>
      <c r="AO198" s="66">
        <v>110488.63140016003</v>
      </c>
      <c r="AP198" s="128">
        <f>+N198-'Приложение №2'!E207</f>
        <v>0</v>
      </c>
      <c r="AQ198" s="23">
        <v>660207.23</v>
      </c>
      <c r="AR198" s="25">
        <f t="shared" si="59"/>
        <v>167382</v>
      </c>
      <c r="AS198" s="25">
        <f>+(K198*10+L198*20)*12*30</f>
        <v>5907600</v>
      </c>
      <c r="AT198" s="127">
        <f t="shared" si="52"/>
        <v>-5556218.7424892802</v>
      </c>
      <c r="AW198" s="63">
        <f t="shared" si="53"/>
        <v>1178970.48751072</v>
      </c>
      <c r="AX198" s="64"/>
      <c r="AY198" s="64"/>
      <c r="AZ198" s="64">
        <v>667653.5</v>
      </c>
      <c r="BA198" s="64">
        <v>491754.09</v>
      </c>
      <c r="BB198" s="64"/>
      <c r="BC198" s="64"/>
      <c r="BD198" s="64"/>
      <c r="BE198" s="64">
        <v>0</v>
      </c>
      <c r="BF198" s="64">
        <v>0</v>
      </c>
      <c r="BG198" s="64">
        <v>0</v>
      </c>
      <c r="BH198" s="64">
        <v>0</v>
      </c>
      <c r="BI198" s="64">
        <v>0</v>
      </c>
      <c r="BJ198" s="64"/>
      <c r="BK198" s="65"/>
      <c r="BL198" s="66">
        <v>19562.897510720002</v>
      </c>
    </row>
    <row r="199" spans="1:64" x14ac:dyDescent="0.25">
      <c r="A199" s="122">
        <f t="shared" si="65"/>
        <v>182</v>
      </c>
      <c r="B199" s="62">
        <f t="shared" si="65"/>
        <v>182</v>
      </c>
      <c r="C199" s="62" t="s">
        <v>63</v>
      </c>
      <c r="D199" s="62" t="s">
        <v>911</v>
      </c>
      <c r="E199" s="123">
        <v>1983</v>
      </c>
      <c r="F199" s="123">
        <v>2012</v>
      </c>
      <c r="G199" s="123" t="s">
        <v>43</v>
      </c>
      <c r="H199" s="123">
        <v>4</v>
      </c>
      <c r="I199" s="123">
        <v>6</v>
      </c>
      <c r="J199" s="64">
        <v>5867</v>
      </c>
      <c r="K199" s="64">
        <v>4942.2</v>
      </c>
      <c r="L199" s="64">
        <v>35.200000000000003</v>
      </c>
      <c r="M199" s="124">
        <v>212</v>
      </c>
      <c r="N199" s="63">
        <f t="shared" si="66"/>
        <v>2049515.5313292001</v>
      </c>
      <c r="O199" s="64"/>
      <c r="P199" s="65"/>
      <c r="Q199" s="65"/>
      <c r="R199" s="65">
        <f>+AQ199+AR199</f>
        <v>1940839.3800000001</v>
      </c>
      <c r="S199" s="65">
        <f>+'Приложение №2'!E208-'Приложение №1'!R199</f>
        <v>108676.15132920002</v>
      </c>
      <c r="T199" s="64">
        <f>+'Приложение №2'!E208-'Приложение №1'!P199-'Приложение №1'!Q199-'Приложение №1'!R199-'Приложение №1'!S199</f>
        <v>0</v>
      </c>
      <c r="U199" s="65">
        <f t="shared" si="63"/>
        <v>411.76428081512444</v>
      </c>
      <c r="V199" s="65">
        <f t="shared" si="63"/>
        <v>411.76428081512444</v>
      </c>
      <c r="W199" s="126">
        <v>2022</v>
      </c>
      <c r="X199" s="127" t="e">
        <f>+#REF!-'[1]Приложение №1'!$P1738</f>
        <v>#REF!</v>
      </c>
      <c r="Z199" s="63">
        <f t="shared" si="64"/>
        <v>10424876.889999999</v>
      </c>
      <c r="AA199" s="64">
        <v>0</v>
      </c>
      <c r="AB199" s="64">
        <v>0</v>
      </c>
      <c r="AC199" s="64">
        <v>4158927.152916899</v>
      </c>
      <c r="AD199" s="64">
        <v>2686586.7666707998</v>
      </c>
      <c r="AE199" s="64">
        <v>1659377.25092916</v>
      </c>
      <c r="AF199" s="64"/>
      <c r="AG199" s="64">
        <v>0</v>
      </c>
      <c r="AH199" s="64">
        <v>0</v>
      </c>
      <c r="AI199" s="64">
        <v>0</v>
      </c>
      <c r="AJ199" s="64">
        <v>0</v>
      </c>
      <c r="AK199" s="64">
        <v>0</v>
      </c>
      <c r="AL199" s="64">
        <v>0</v>
      </c>
      <c r="AM199" s="64">
        <v>1629752.206</v>
      </c>
      <c r="AN199" s="65">
        <v>104248.76890000001</v>
      </c>
      <c r="AO199" s="66">
        <v>185984.74458314001</v>
      </c>
      <c r="AP199" s="128">
        <f>+N199-'Приложение №2'!E208</f>
        <v>0</v>
      </c>
      <c r="AQ199" s="23">
        <f>2070107.33-640553.15</f>
        <v>1429554.1800000002</v>
      </c>
      <c r="AR199" s="25">
        <f t="shared" si="59"/>
        <v>511285.2</v>
      </c>
      <c r="AS199" s="25">
        <f>+(K199*10+L199*20)*12*30-929957.98</f>
        <v>17115402.02</v>
      </c>
      <c r="AT199" s="127">
        <f t="shared" si="52"/>
        <v>-17006725.868670799</v>
      </c>
      <c r="AW199" s="63">
        <f t="shared" si="53"/>
        <v>2049515.5313292001</v>
      </c>
      <c r="AX199" s="64">
        <v>0</v>
      </c>
      <c r="AY199" s="64">
        <v>0</v>
      </c>
      <c r="AZ199" s="64"/>
      <c r="BA199" s="64">
        <v>1990765.32</v>
      </c>
      <c r="BB199" s="64"/>
      <c r="BC199" s="64"/>
      <c r="BD199" s="64"/>
      <c r="BE199" s="64">
        <v>0</v>
      </c>
      <c r="BF199" s="64">
        <v>0</v>
      </c>
      <c r="BG199" s="64">
        <v>0</v>
      </c>
      <c r="BH199" s="64">
        <v>0</v>
      </c>
      <c r="BI199" s="64">
        <v>0</v>
      </c>
      <c r="BJ199" s="64"/>
      <c r="BK199" s="65"/>
      <c r="BL199" s="66">
        <v>58750.211329199999</v>
      </c>
    </row>
    <row r="200" spans="1:64" x14ac:dyDescent="0.25">
      <c r="A200" s="122">
        <f t="shared" si="65"/>
        <v>183</v>
      </c>
      <c r="B200" s="62">
        <f t="shared" si="65"/>
        <v>183</v>
      </c>
      <c r="C200" s="62" t="s">
        <v>63</v>
      </c>
      <c r="D200" s="62" t="s">
        <v>367</v>
      </c>
      <c r="E200" s="123">
        <v>1969</v>
      </c>
      <c r="F200" s="123">
        <v>2009</v>
      </c>
      <c r="G200" s="123" t="s">
        <v>43</v>
      </c>
      <c r="H200" s="123">
        <v>4</v>
      </c>
      <c r="I200" s="123">
        <v>4</v>
      </c>
      <c r="J200" s="64">
        <v>2719.1</v>
      </c>
      <c r="K200" s="64">
        <v>2454</v>
      </c>
      <c r="L200" s="64">
        <v>66.5</v>
      </c>
      <c r="M200" s="124">
        <v>120</v>
      </c>
      <c r="N200" s="63">
        <f t="shared" si="66"/>
        <v>6265968.0113439998</v>
      </c>
      <c r="O200" s="64"/>
      <c r="P200" s="65"/>
      <c r="Q200" s="65"/>
      <c r="R200" s="65">
        <v>1163543.43</v>
      </c>
      <c r="S200" s="65">
        <f>+'Приложение №2'!E209-'Приложение №1'!R200-P200</f>
        <v>5102424.5813440001</v>
      </c>
      <c r="T200" s="64">
        <f>+'Приложение №2'!E209-'Приложение №1'!P200-'Приложение №1'!Q200-'Приложение №1'!R200-'Приложение №1'!S200</f>
        <v>0</v>
      </c>
      <c r="U200" s="65">
        <f t="shared" si="63"/>
        <v>2486.0019882340803</v>
      </c>
      <c r="V200" s="65">
        <f t="shared" si="63"/>
        <v>2486.0019882340803</v>
      </c>
      <c r="W200" s="126">
        <v>2022</v>
      </c>
      <c r="X200" s="127" t="e">
        <f>+#REF!-'[1]Приложение №1'!$P1739</f>
        <v>#REF!</v>
      </c>
      <c r="Z200" s="63">
        <f t="shared" si="64"/>
        <v>14067048.463401999</v>
      </c>
      <c r="AA200" s="64">
        <v>0</v>
      </c>
      <c r="AB200" s="64">
        <v>0</v>
      </c>
      <c r="AC200" s="64">
        <v>0</v>
      </c>
      <c r="AD200" s="64">
        <v>0</v>
      </c>
      <c r="AE200" s="64">
        <v>850099.92968124012</v>
      </c>
      <c r="AF200" s="64"/>
      <c r="AG200" s="64">
        <v>0</v>
      </c>
      <c r="AH200" s="64">
        <v>0</v>
      </c>
      <c r="AI200" s="64">
        <v>0</v>
      </c>
      <c r="AJ200" s="64">
        <v>0</v>
      </c>
      <c r="AK200" s="64">
        <v>6122487.8099999996</v>
      </c>
      <c r="AL200" s="64">
        <v>6280344.04</v>
      </c>
      <c r="AM200" s="64">
        <v>592071.17800000007</v>
      </c>
      <c r="AN200" s="65">
        <v>53956.358600000007</v>
      </c>
      <c r="AO200" s="66">
        <v>168089.14712076</v>
      </c>
      <c r="AP200" s="128">
        <f>+N200-'Приложение №2'!E209</f>
        <v>0</v>
      </c>
      <c r="AQ200" s="23">
        <v>882910.83</v>
      </c>
      <c r="AR200" s="25">
        <f t="shared" si="59"/>
        <v>263874</v>
      </c>
      <c r="AS200" s="25">
        <f>+(K200*10+L200*20)*12*30</f>
        <v>9313200</v>
      </c>
      <c r="AT200" s="127">
        <f t="shared" si="52"/>
        <v>-4210775.4186559999</v>
      </c>
      <c r="AW200" s="63">
        <f t="shared" si="53"/>
        <v>6265968.0113439998</v>
      </c>
      <c r="AX200" s="64">
        <v>0</v>
      </c>
      <c r="AY200" s="64">
        <v>0</v>
      </c>
      <c r="AZ200" s="64">
        <v>0</v>
      </c>
      <c r="BA200" s="64">
        <v>0</v>
      </c>
      <c r="BB200" s="64"/>
      <c r="BC200" s="64"/>
      <c r="BD200" s="64"/>
      <c r="BE200" s="64">
        <v>0</v>
      </c>
      <c r="BF200" s="64">
        <v>0</v>
      </c>
      <c r="BG200" s="64">
        <v>0</v>
      </c>
      <c r="BH200" s="64">
        <v>6113601.8799999999</v>
      </c>
      <c r="BI200" s="64"/>
      <c r="BJ200" s="64"/>
      <c r="BK200" s="65"/>
      <c r="BL200" s="66">
        <v>152366.13134399999</v>
      </c>
    </row>
    <row r="201" spans="1:64" x14ac:dyDescent="0.25">
      <c r="A201" s="122">
        <f t="shared" si="65"/>
        <v>184</v>
      </c>
      <c r="B201" s="62">
        <f t="shared" si="65"/>
        <v>184</v>
      </c>
      <c r="C201" s="62" t="s">
        <v>63</v>
      </c>
      <c r="D201" s="62" t="s">
        <v>368</v>
      </c>
      <c r="E201" s="123">
        <v>1967</v>
      </c>
      <c r="F201" s="123">
        <v>2008</v>
      </c>
      <c r="G201" s="123" t="s">
        <v>43</v>
      </c>
      <c r="H201" s="123">
        <v>4</v>
      </c>
      <c r="I201" s="123">
        <v>4</v>
      </c>
      <c r="J201" s="64">
        <v>2789.5</v>
      </c>
      <c r="K201" s="64">
        <v>2436</v>
      </c>
      <c r="L201" s="64">
        <v>98.5</v>
      </c>
      <c r="M201" s="124">
        <v>116</v>
      </c>
      <c r="N201" s="63">
        <f t="shared" si="66"/>
        <v>18257138.112024002</v>
      </c>
      <c r="O201" s="64"/>
      <c r="P201" s="65">
        <v>546289.42000000004</v>
      </c>
      <c r="Q201" s="65"/>
      <c r="R201" s="65">
        <v>1107518.53</v>
      </c>
      <c r="S201" s="65">
        <f>+AS201</f>
        <v>9478800</v>
      </c>
      <c r="T201" s="64">
        <f>+'Приложение №2'!E210-'Приложение №1'!P201-'Приложение №1'!Q201-'Приложение №1'!R201-'Приложение №1'!S201</f>
        <v>7124530.1620240007</v>
      </c>
      <c r="U201" s="65">
        <f t="shared" si="63"/>
        <v>7203.4476670049326</v>
      </c>
      <c r="V201" s="65">
        <f t="shared" si="63"/>
        <v>7203.4476670049326</v>
      </c>
      <c r="W201" s="126">
        <v>2022</v>
      </c>
      <c r="X201" s="127" t="e">
        <f>+#REF!-'[1]Приложение №1'!$P1301</f>
        <v>#REF!</v>
      </c>
      <c r="Z201" s="63">
        <f t="shared" si="64"/>
        <v>19003273.532024</v>
      </c>
      <c r="AA201" s="64">
        <v>4925306.53</v>
      </c>
      <c r="AB201" s="64">
        <v>0</v>
      </c>
      <c r="AC201" s="64">
        <v>0</v>
      </c>
      <c r="AD201" s="64">
        <v>0</v>
      </c>
      <c r="AE201" s="64">
        <v>844685.70089904009</v>
      </c>
      <c r="AF201" s="64"/>
      <c r="AG201" s="64">
        <v>0</v>
      </c>
      <c r="AH201" s="64">
        <v>0</v>
      </c>
      <c r="AI201" s="64">
        <v>0</v>
      </c>
      <c r="AJ201" s="64">
        <v>0</v>
      </c>
      <c r="AK201" s="64">
        <v>6067163.0700000003</v>
      </c>
      <c r="AL201" s="64">
        <v>6238206.8099999996</v>
      </c>
      <c r="AM201" s="64">
        <v>642911.348</v>
      </c>
      <c r="AN201" s="65">
        <v>54084.785600000003</v>
      </c>
      <c r="AO201" s="66">
        <v>230915.28752496</v>
      </c>
      <c r="AP201" s="128">
        <f>+N201-'Приложение №2'!E210</f>
        <v>0</v>
      </c>
      <c r="AQ201" s="23">
        <v>996118.85</v>
      </c>
      <c r="AR201" s="25">
        <f t="shared" si="59"/>
        <v>268566</v>
      </c>
      <c r="AS201" s="25">
        <f>+(K201*10+L201*20)*12*30</f>
        <v>9478800</v>
      </c>
      <c r="AT201" s="127">
        <f t="shared" si="52"/>
        <v>0</v>
      </c>
      <c r="AW201" s="63">
        <f t="shared" si="53"/>
        <v>18257138.112024002</v>
      </c>
      <c r="AX201" s="64">
        <v>4878537.09</v>
      </c>
      <c r="AY201" s="64">
        <v>0</v>
      </c>
      <c r="AZ201" s="64">
        <v>0</v>
      </c>
      <c r="BA201" s="64">
        <v>0</v>
      </c>
      <c r="BB201" s="64"/>
      <c r="BC201" s="64"/>
      <c r="BD201" s="64"/>
      <c r="BE201" s="64">
        <v>0</v>
      </c>
      <c r="BF201" s="64">
        <v>0</v>
      </c>
      <c r="BG201" s="64">
        <v>0</v>
      </c>
      <c r="BH201" s="64">
        <v>5994057.4199999999</v>
      </c>
      <c r="BI201" s="64">
        <v>7172099.8799999999</v>
      </c>
      <c r="BJ201" s="64"/>
      <c r="BK201" s="65"/>
      <c r="BL201" s="66">
        <v>212443.72202400002</v>
      </c>
    </row>
    <row r="202" spans="1:64" x14ac:dyDescent="0.25">
      <c r="A202" s="122">
        <f t="shared" si="65"/>
        <v>185</v>
      </c>
      <c r="B202" s="62">
        <f t="shared" si="65"/>
        <v>185</v>
      </c>
      <c r="C202" s="62" t="s">
        <v>63</v>
      </c>
      <c r="D202" s="62" t="s">
        <v>912</v>
      </c>
      <c r="E202" s="123">
        <v>1975</v>
      </c>
      <c r="F202" s="123">
        <v>1985</v>
      </c>
      <c r="G202" s="123" t="s">
        <v>43</v>
      </c>
      <c r="H202" s="123">
        <v>4</v>
      </c>
      <c r="I202" s="123">
        <v>1</v>
      </c>
      <c r="J202" s="64">
        <v>2576.4</v>
      </c>
      <c r="K202" s="64">
        <v>1895.4</v>
      </c>
      <c r="L202" s="64">
        <v>169.5</v>
      </c>
      <c r="M202" s="124">
        <v>92</v>
      </c>
      <c r="N202" s="63">
        <f>+P202+Q202+R202+S202+T202</f>
        <v>1244942.4749406199</v>
      </c>
      <c r="O202" s="64"/>
      <c r="P202" s="65"/>
      <c r="Q202" s="65"/>
      <c r="R202" s="65">
        <f>+AQ202+AR202</f>
        <v>1018495.6100000001</v>
      </c>
      <c r="S202" s="65">
        <f>+'Приложение №2'!E211-'Приложение №1'!R202</f>
        <v>226446.86494061979</v>
      </c>
      <c r="T202" s="64">
        <f>+'Приложение №2'!E211-'Приложение №1'!P202-'Приложение №1'!Q202-'Приложение №1'!R202-'Приложение №1'!S202</f>
        <v>0</v>
      </c>
      <c r="U202" s="65">
        <f>$N202/($K202+$L202)</f>
        <v>602.90690829610139</v>
      </c>
      <c r="V202" s="65">
        <f>$N202/($K202+$L202)</f>
        <v>602.90690829610139</v>
      </c>
      <c r="W202" s="126">
        <v>2022</v>
      </c>
      <c r="X202" s="127" t="e">
        <f>+#REF!-'[1]Приложение №1'!$P1740</f>
        <v>#REF!</v>
      </c>
      <c r="Z202" s="63">
        <f>SUM(AA202:AO202)</f>
        <v>1957771.97</v>
      </c>
      <c r="AA202" s="64">
        <v>0</v>
      </c>
      <c r="AB202" s="64">
        <v>0</v>
      </c>
      <c r="AC202" s="64">
        <v>1705129.3283593801</v>
      </c>
      <c r="AD202" s="64">
        <v>0</v>
      </c>
      <c r="AE202" s="64">
        <v>0</v>
      </c>
      <c r="AF202" s="64"/>
      <c r="AG202" s="64">
        <v>0</v>
      </c>
      <c r="AH202" s="64">
        <v>0</v>
      </c>
      <c r="AI202" s="64">
        <v>0</v>
      </c>
      <c r="AJ202" s="64">
        <v>0</v>
      </c>
      <c r="AK202" s="64">
        <v>0</v>
      </c>
      <c r="AL202" s="64">
        <v>0</v>
      </c>
      <c r="AM202" s="64">
        <v>195777.19700000001</v>
      </c>
      <c r="AN202" s="65">
        <v>19577.719700000001</v>
      </c>
      <c r="AO202" s="66">
        <v>37287.724940620006</v>
      </c>
      <c r="AP202" s="128">
        <f>+N202-'Приложение №2'!E211</f>
        <v>0</v>
      </c>
      <c r="AQ202" s="23">
        <v>790586.81</v>
      </c>
      <c r="AR202" s="25">
        <f>+(K202*10+L202*20)*12*0.85</f>
        <v>227908.8</v>
      </c>
      <c r="AS202" s="25">
        <f>+(K202*10+L202*20)*12*30</f>
        <v>8043840</v>
      </c>
      <c r="AT202" s="127">
        <f>+S202-AS202</f>
        <v>-7817393.13505938</v>
      </c>
      <c r="AW202" s="63">
        <f t="shared" si="53"/>
        <v>1244942.4749406199</v>
      </c>
      <c r="AX202" s="64">
        <v>0</v>
      </c>
      <c r="AY202" s="64">
        <v>0</v>
      </c>
      <c r="AZ202" s="64">
        <v>1207654.75</v>
      </c>
      <c r="BA202" s="64">
        <v>0</v>
      </c>
      <c r="BB202" s="64">
        <v>0</v>
      </c>
      <c r="BC202" s="64"/>
      <c r="BD202" s="64"/>
      <c r="BE202" s="64">
        <v>0</v>
      </c>
      <c r="BF202" s="64">
        <v>0</v>
      </c>
      <c r="BG202" s="64">
        <v>0</v>
      </c>
      <c r="BH202" s="64">
        <v>0</v>
      </c>
      <c r="BI202" s="64">
        <v>0</v>
      </c>
      <c r="BJ202" s="64"/>
      <c r="BK202" s="65"/>
      <c r="BL202" s="66">
        <v>37287.724940620006</v>
      </c>
    </row>
    <row r="203" spans="1:64" x14ac:dyDescent="0.25">
      <c r="A203" s="122">
        <f t="shared" si="65"/>
        <v>186</v>
      </c>
      <c r="B203" s="62">
        <f t="shared" si="65"/>
        <v>186</v>
      </c>
      <c r="C203" s="62" t="s">
        <v>52</v>
      </c>
      <c r="D203" s="62" t="s">
        <v>1060</v>
      </c>
      <c r="E203" s="123">
        <v>2005</v>
      </c>
      <c r="F203" s="123"/>
      <c r="G203" s="123" t="s">
        <v>43</v>
      </c>
      <c r="H203" s="123">
        <v>6</v>
      </c>
      <c r="I203" s="123">
        <v>1</v>
      </c>
      <c r="J203" s="64">
        <v>1214.0999999999999</v>
      </c>
      <c r="K203" s="64">
        <v>1104.5999999999999</v>
      </c>
      <c r="L203" s="64">
        <v>0</v>
      </c>
      <c r="M203" s="124">
        <v>41</v>
      </c>
      <c r="N203" s="63">
        <f t="shared" si="66"/>
        <v>4254086.16</v>
      </c>
      <c r="O203" s="64"/>
      <c r="P203" s="65"/>
      <c r="Q203" s="65"/>
      <c r="R203" s="65">
        <f>470428.61+3783657.55</f>
        <v>4254086.16</v>
      </c>
      <c r="S203" s="65"/>
      <c r="T203" s="65">
        <v>0</v>
      </c>
      <c r="U203" s="65">
        <f t="shared" si="63"/>
        <v>3851.2458446496476</v>
      </c>
      <c r="V203" s="65">
        <f t="shared" si="63"/>
        <v>3851.2458446496476</v>
      </c>
      <c r="W203" s="126">
        <v>2022</v>
      </c>
      <c r="X203" s="127" t="e">
        <f>+#REF!-'[1]Приложение №1'!$P586</f>
        <v>#REF!</v>
      </c>
      <c r="Z203" s="63">
        <f t="shared" si="64"/>
        <v>7345879.3544120006</v>
      </c>
      <c r="AA203" s="64">
        <v>0</v>
      </c>
      <c r="AB203" s="64">
        <v>0</v>
      </c>
      <c r="AC203" s="64">
        <v>0</v>
      </c>
      <c r="AD203" s="64">
        <v>0</v>
      </c>
      <c r="AE203" s="64">
        <v>491444.9</v>
      </c>
      <c r="AF203" s="64"/>
      <c r="AG203" s="64">
        <v>0</v>
      </c>
      <c r="AH203" s="64">
        <v>0</v>
      </c>
      <c r="AI203" s="64">
        <v>0</v>
      </c>
      <c r="AJ203" s="64">
        <v>0</v>
      </c>
      <c r="AK203" s="64">
        <v>2817572.53491042</v>
      </c>
      <c r="AL203" s="64">
        <v>3039081.7867057198</v>
      </c>
      <c r="AM203" s="64">
        <v>797894.04099999997</v>
      </c>
      <c r="AN203" s="65">
        <v>68910.799100000004</v>
      </c>
      <c r="AO203" s="66">
        <v>130975.29269586</v>
      </c>
      <c r="AP203" s="128" t="s">
        <v>590</v>
      </c>
      <c r="AQ203" s="23">
        <v>547627.87</v>
      </c>
      <c r="AR203" s="25">
        <f t="shared" si="59"/>
        <v>112669.2</v>
      </c>
      <c r="AS203" s="25">
        <f>+(K203*10+L203*20)*12*30</f>
        <v>3976560</v>
      </c>
      <c r="AT203" s="127">
        <f t="shared" si="52"/>
        <v>-3976560</v>
      </c>
      <c r="AW203" s="63">
        <f t="shared" si="53"/>
        <v>4254086.16</v>
      </c>
      <c r="AX203" s="64"/>
      <c r="AY203" s="64"/>
      <c r="AZ203" s="64"/>
      <c r="BA203" s="64"/>
      <c r="BB203" s="64"/>
      <c r="BC203" s="64"/>
      <c r="BD203" s="64"/>
      <c r="BE203" s="64"/>
      <c r="BF203" s="64">
        <v>4254086.16</v>
      </c>
      <c r="BG203" s="64"/>
      <c r="BH203" s="64"/>
      <c r="BI203" s="64"/>
      <c r="BJ203" s="64"/>
      <c r="BK203" s="64"/>
      <c r="BL203" s="64"/>
    </row>
    <row r="204" spans="1:64" x14ac:dyDescent="0.25">
      <c r="A204" s="122">
        <f t="shared" si="65"/>
        <v>187</v>
      </c>
      <c r="B204" s="62">
        <f t="shared" si="65"/>
        <v>187</v>
      </c>
      <c r="C204" s="23" t="s">
        <v>150</v>
      </c>
      <c r="D204" s="62" t="s">
        <v>924</v>
      </c>
      <c r="E204" s="123" t="s">
        <v>148</v>
      </c>
      <c r="F204" s="123"/>
      <c r="G204" s="123" t="s">
        <v>43</v>
      </c>
      <c r="H204" s="123" t="s">
        <v>101</v>
      </c>
      <c r="I204" s="123" t="s">
        <v>98</v>
      </c>
      <c r="J204" s="64">
        <v>1440.7</v>
      </c>
      <c r="K204" s="64">
        <v>820.56</v>
      </c>
      <c r="L204" s="64">
        <v>349.5</v>
      </c>
      <c r="M204" s="124">
        <v>48</v>
      </c>
      <c r="N204" s="63">
        <f t="shared" si="66"/>
        <v>566057.97</v>
      </c>
      <c r="O204" s="64">
        <v>0</v>
      </c>
      <c r="P204" s="65">
        <v>0</v>
      </c>
      <c r="Q204" s="65">
        <v>0</v>
      </c>
      <c r="R204" s="65">
        <v>566057.97</v>
      </c>
      <c r="S204" s="65"/>
      <c r="T204" s="65">
        <v>0</v>
      </c>
      <c r="U204" s="65">
        <f t="shared" si="63"/>
        <v>483.78542126044817</v>
      </c>
      <c r="V204" s="65">
        <f t="shared" si="63"/>
        <v>483.78542126044817</v>
      </c>
      <c r="W204" s="126">
        <v>2022</v>
      </c>
      <c r="X204" s="127"/>
      <c r="Z204" s="130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31"/>
      <c r="AO204" s="131"/>
      <c r="AP204" s="128">
        <f>+N204-'Приложение №2'!E213</f>
        <v>0</v>
      </c>
      <c r="AT204" s="127">
        <f t="shared" ref="AT204:AT271" si="67">+S204-AS204</f>
        <v>0</v>
      </c>
      <c r="AW204" s="63">
        <f t="shared" si="53"/>
        <v>566057.97</v>
      </c>
      <c r="AX204" s="64"/>
      <c r="AY204" s="64"/>
      <c r="AZ204" s="64"/>
      <c r="BA204" s="64"/>
      <c r="BB204" s="64"/>
      <c r="BC204" s="64"/>
      <c r="BD204" s="64"/>
      <c r="BE204" s="64"/>
      <c r="BF204" s="64">
        <v>194953.44</v>
      </c>
      <c r="BG204" s="64"/>
      <c r="BH204" s="64">
        <v>371104.53</v>
      </c>
      <c r="BI204" s="64"/>
      <c r="BJ204" s="64"/>
      <c r="BK204" s="64"/>
      <c r="BL204" s="64"/>
    </row>
    <row r="205" spans="1:64" x14ac:dyDescent="0.25">
      <c r="A205" s="122">
        <f t="shared" si="65"/>
        <v>188</v>
      </c>
      <c r="B205" s="62">
        <f t="shared" si="65"/>
        <v>188</v>
      </c>
      <c r="C205" s="23" t="s">
        <v>150</v>
      </c>
      <c r="D205" s="62" t="s">
        <v>925</v>
      </c>
      <c r="E205" s="123" t="s">
        <v>149</v>
      </c>
      <c r="F205" s="123"/>
      <c r="G205" s="123" t="s">
        <v>43</v>
      </c>
      <c r="H205" s="123" t="s">
        <v>101</v>
      </c>
      <c r="I205" s="123" t="s">
        <v>102</v>
      </c>
      <c r="J205" s="64">
        <v>819.9</v>
      </c>
      <c r="K205" s="64">
        <v>649</v>
      </c>
      <c r="L205" s="64">
        <v>0</v>
      </c>
      <c r="M205" s="124">
        <v>30</v>
      </c>
      <c r="N205" s="63">
        <f t="shared" si="66"/>
        <v>10770762.300000001</v>
      </c>
      <c r="O205" s="64">
        <v>0</v>
      </c>
      <c r="P205" s="65">
        <v>0</v>
      </c>
      <c r="Q205" s="65">
        <v>0</v>
      </c>
      <c r="R205" s="65">
        <v>10770762.300000001</v>
      </c>
      <c r="S205" s="65"/>
      <c r="T205" s="65">
        <v>0</v>
      </c>
      <c r="U205" s="65">
        <f t="shared" si="63"/>
        <v>16595.935747303545</v>
      </c>
      <c r="V205" s="65">
        <f t="shared" si="63"/>
        <v>16595.935747303545</v>
      </c>
      <c r="W205" s="126">
        <v>2022</v>
      </c>
      <c r="X205" s="127"/>
      <c r="Z205" s="130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31"/>
      <c r="AO205" s="131"/>
      <c r="AP205" s="128">
        <f>+N205-'Приложение №2'!E214</f>
        <v>0</v>
      </c>
      <c r="AT205" s="127">
        <f t="shared" si="67"/>
        <v>0</v>
      </c>
      <c r="AW205" s="79">
        <f t="shared" si="53"/>
        <v>10770762.300000001</v>
      </c>
      <c r="AX205" s="80"/>
      <c r="AY205" s="80"/>
      <c r="AZ205" s="80"/>
      <c r="BA205" s="80"/>
      <c r="BB205" s="80"/>
      <c r="BC205" s="80"/>
      <c r="BD205" s="80"/>
      <c r="BE205" s="80"/>
      <c r="BF205" s="80">
        <v>5195058.41</v>
      </c>
      <c r="BG205" s="80"/>
      <c r="BH205" s="80">
        <v>5575703.8899999997</v>
      </c>
      <c r="BI205" s="80"/>
      <c r="BJ205" s="80"/>
      <c r="BK205" s="80"/>
      <c r="BL205" s="80"/>
    </row>
    <row r="206" spans="1:64" s="87" customFormat="1" x14ac:dyDescent="0.25">
      <c r="A206" s="132"/>
      <c r="B206" s="132"/>
      <c r="D206" s="52">
        <v>2023</v>
      </c>
      <c r="E206" s="133"/>
      <c r="F206" s="133"/>
      <c r="G206" s="133"/>
      <c r="H206" s="133"/>
      <c r="I206" s="133"/>
      <c r="J206" s="85">
        <f>SUM(J209:J475)</f>
        <v>978933.05</v>
      </c>
      <c r="K206" s="85">
        <f>SUM(K209:K475)</f>
        <v>807344.49000000057</v>
      </c>
      <c r="L206" s="85">
        <f>SUM(L209:L475)</f>
        <v>48375.43</v>
      </c>
      <c r="M206" s="85">
        <f>SUM(M209:M475)</f>
        <v>34994</v>
      </c>
      <c r="N206" s="85">
        <f>SUM(O206:T206)</f>
        <v>3761164931.5329933</v>
      </c>
      <c r="O206" s="85">
        <f>SUM(O210:O473)</f>
        <v>0</v>
      </c>
      <c r="P206" s="85">
        <f>SUM(P207:P476)</f>
        <v>438078320.0040555</v>
      </c>
      <c r="Q206" s="85">
        <f t="shared" ref="Q206:T206" si="68">SUM(Q207:Q476)</f>
        <v>7110772</v>
      </c>
      <c r="R206" s="85">
        <f t="shared" si="68"/>
        <v>404103605.27717066</v>
      </c>
      <c r="S206" s="85">
        <f t="shared" si="68"/>
        <v>1577895169.2319784</v>
      </c>
      <c r="T206" s="85">
        <f t="shared" si="68"/>
        <v>1333977065.0197885</v>
      </c>
      <c r="U206" s="134"/>
      <c r="V206" s="134"/>
      <c r="W206" s="135"/>
      <c r="X206" s="136"/>
      <c r="Z206" s="137"/>
      <c r="AA206" s="136"/>
      <c r="AB206" s="136"/>
      <c r="AC206" s="136"/>
      <c r="AD206" s="136"/>
      <c r="AE206" s="136"/>
      <c r="AF206" s="136"/>
      <c r="AG206" s="136"/>
      <c r="AH206" s="136"/>
      <c r="AI206" s="136"/>
      <c r="AJ206" s="136"/>
      <c r="AK206" s="136"/>
      <c r="AL206" s="136"/>
      <c r="AM206" s="136"/>
      <c r="AN206" s="138"/>
      <c r="AO206" s="138"/>
      <c r="AP206" s="139">
        <f>+N206-'Приложение №2'!E215</f>
        <v>0</v>
      </c>
      <c r="AR206" s="140"/>
      <c r="AS206" s="140"/>
      <c r="AT206" s="136">
        <f>+P206+Q206+R206+S206+T206-'Приложение №2'!E215</f>
        <v>0</v>
      </c>
      <c r="AW206" s="84">
        <f>SUM(AX206:BL206)</f>
        <v>3758285038.3616223</v>
      </c>
      <c r="AX206" s="85">
        <f>SUM(AX207:AX476)</f>
        <v>693019540.45144784</v>
      </c>
      <c r="AY206" s="85">
        <f t="shared" ref="AY206:BL206" si="69">SUM(AY207:AY476)</f>
        <v>220146401.63263407</v>
      </c>
      <c r="AZ206" s="85">
        <f t="shared" si="69"/>
        <v>273862632.70311749</v>
      </c>
      <c r="BA206" s="85">
        <f t="shared" si="69"/>
        <v>162652611.74678579</v>
      </c>
      <c r="BB206" s="85">
        <f t="shared" si="69"/>
        <v>29035268.222083185</v>
      </c>
      <c r="BC206" s="85">
        <f t="shared" si="69"/>
        <v>0</v>
      </c>
      <c r="BD206" s="85">
        <f t="shared" si="69"/>
        <v>24421298.348412089</v>
      </c>
      <c r="BE206" s="85">
        <f t="shared" si="69"/>
        <v>55387763.957508564</v>
      </c>
      <c r="BF206" s="85">
        <f t="shared" si="69"/>
        <v>715599409.24023104</v>
      </c>
      <c r="BG206" s="85">
        <f t="shared" si="69"/>
        <v>51440581.627235495</v>
      </c>
      <c r="BH206" s="85">
        <f t="shared" si="69"/>
        <v>824504783.34021664</v>
      </c>
      <c r="BI206" s="85">
        <f t="shared" si="69"/>
        <v>507594730.07888865</v>
      </c>
      <c r="BJ206" s="85">
        <f t="shared" si="69"/>
        <v>79284865.892830923</v>
      </c>
      <c r="BK206" s="85">
        <f t="shared" si="69"/>
        <v>7573041.7840896556</v>
      </c>
      <c r="BL206" s="85">
        <f t="shared" si="69"/>
        <v>113762109.33614084</v>
      </c>
    </row>
    <row r="207" spans="1:64" x14ac:dyDescent="0.25">
      <c r="A207" s="141">
        <f>+A205+1</f>
        <v>189</v>
      </c>
      <c r="B207" s="142">
        <v>1</v>
      </c>
      <c r="C207" s="62" t="s">
        <v>49</v>
      </c>
      <c r="D207" s="62" t="s">
        <v>1061</v>
      </c>
      <c r="E207" s="123">
        <v>1993</v>
      </c>
      <c r="F207" s="123">
        <v>2013</v>
      </c>
      <c r="G207" s="123" t="s">
        <v>43</v>
      </c>
      <c r="H207" s="123">
        <v>9</v>
      </c>
      <c r="I207" s="123">
        <v>1</v>
      </c>
      <c r="J207" s="64">
        <v>4027.7</v>
      </c>
      <c r="K207" s="64">
        <v>2671.9</v>
      </c>
      <c r="L207" s="64">
        <v>0</v>
      </c>
      <c r="M207" s="124">
        <v>88</v>
      </c>
      <c r="N207" s="63">
        <f>SUM(O207:T207)</f>
        <v>5500477.4840838276</v>
      </c>
      <c r="O207" s="64"/>
      <c r="P207" s="65"/>
      <c r="Q207" s="65"/>
      <c r="R207" s="65">
        <v>1171287.68</v>
      </c>
      <c r="S207" s="65">
        <v>3280381.28</v>
      </c>
      <c r="T207" s="64">
        <f>+'Приложение №2'!E216-'Приложение №1'!P207-'Приложение №1'!Q207-'Приложение №1'!R207-'Приложение №1'!S207</f>
        <v>1048808.5240838272</v>
      </c>
      <c r="U207" s="65">
        <f>N207/K207</f>
        <v>2058.6389775380171</v>
      </c>
      <c r="V207" s="65">
        <v>1174.2830200640001</v>
      </c>
      <c r="W207" s="126">
        <v>2023</v>
      </c>
      <c r="X207" s="127" t="e">
        <f>+#REF!-'[1]Приложение №1'!$P358</f>
        <v>#REF!</v>
      </c>
      <c r="Z207" s="63">
        <f>SUM(AA207:AO207)</f>
        <v>5182418.4879168002</v>
      </c>
      <c r="AA207" s="64">
        <v>0</v>
      </c>
      <c r="AB207" s="64">
        <v>0</v>
      </c>
      <c r="AC207" s="64">
        <v>0</v>
      </c>
      <c r="AD207" s="64">
        <v>0</v>
      </c>
      <c r="AE207" s="64">
        <v>0</v>
      </c>
      <c r="AF207" s="64"/>
      <c r="AG207" s="64">
        <v>0</v>
      </c>
      <c r="AH207" s="64">
        <v>0</v>
      </c>
      <c r="AI207" s="64">
        <v>0</v>
      </c>
      <c r="AJ207" s="64">
        <v>4513648.1117250882</v>
      </c>
      <c r="AK207" s="64">
        <v>0</v>
      </c>
      <c r="AL207" s="64">
        <v>0</v>
      </c>
      <c r="AM207" s="64">
        <v>518241.84879168007</v>
      </c>
      <c r="AN207" s="65">
        <v>51824.184879168002</v>
      </c>
      <c r="AO207" s="66">
        <v>98704.342520863371</v>
      </c>
      <c r="AP207" s="128">
        <f>+N207-'Приложение №2'!E216</f>
        <v>0</v>
      </c>
      <c r="AQ207" s="23">
        <f>1985654.28-830510.88</f>
        <v>1155143.3999999999</v>
      </c>
      <c r="AR207" s="25">
        <f t="shared" ref="AR207:AR208" si="70">+(K207*13.95+L207*23.65)*12*0.85</f>
        <v>380184.65099999995</v>
      </c>
      <c r="AS207" s="25">
        <f>+(K207*13.95+L207*23.65)*12*30-2624808.09</f>
        <v>10793473.709999999</v>
      </c>
      <c r="AT207" s="127">
        <f>+S207-AS207</f>
        <v>-7513092.4299999997</v>
      </c>
      <c r="AU207" s="127">
        <f>+P207-'[6]Приложение №1'!$P461</f>
        <v>0</v>
      </c>
      <c r="AV207" s="127">
        <f>+Q207-'[6]Приложение №1'!$Q461</f>
        <v>0</v>
      </c>
      <c r="AW207" s="88">
        <f>SUBTOTAL(9,AX207:BL207)</f>
        <v>5500477.4840838267</v>
      </c>
      <c r="AX207" s="64">
        <v>0</v>
      </c>
      <c r="AY207" s="64">
        <v>0</v>
      </c>
      <c r="AZ207" s="64">
        <v>0</v>
      </c>
      <c r="BA207" s="64">
        <v>0</v>
      </c>
      <c r="BB207" s="64">
        <v>0</v>
      </c>
      <c r="BC207" s="64"/>
      <c r="BD207" s="64"/>
      <c r="BE207" s="64">
        <v>0</v>
      </c>
      <c r="BF207" s="64"/>
      <c r="BG207" s="64">
        <v>5403128.5</v>
      </c>
      <c r="BH207" s="64">
        <v>0</v>
      </c>
      <c r="BI207" s="64">
        <v>0</v>
      </c>
      <c r="BJ207" s="64"/>
      <c r="BK207" s="65"/>
      <c r="BL207" s="66">
        <v>97348.984083826697</v>
      </c>
    </row>
    <row r="208" spans="1:64" x14ac:dyDescent="0.25">
      <c r="A208" s="141">
        <f>+A207+1</f>
        <v>190</v>
      </c>
      <c r="B208" s="142">
        <f>+B207+1</f>
        <v>2</v>
      </c>
      <c r="C208" s="62" t="s">
        <v>49</v>
      </c>
      <c r="D208" s="62" t="s">
        <v>1062</v>
      </c>
      <c r="E208" s="123">
        <v>1993</v>
      </c>
      <c r="F208" s="123">
        <v>2013</v>
      </c>
      <c r="G208" s="123" t="s">
        <v>43</v>
      </c>
      <c r="H208" s="123">
        <v>9</v>
      </c>
      <c r="I208" s="123">
        <v>1</v>
      </c>
      <c r="J208" s="64">
        <v>4065.2</v>
      </c>
      <c r="K208" s="64">
        <v>2714.9</v>
      </c>
      <c r="L208" s="64">
        <v>0</v>
      </c>
      <c r="M208" s="124">
        <v>97</v>
      </c>
      <c r="N208" s="63">
        <f>SUM(O208:T208)</f>
        <v>6440513.7959507219</v>
      </c>
      <c r="O208" s="64"/>
      <c r="P208" s="65"/>
      <c r="Q208" s="65"/>
      <c r="R208" s="65">
        <v>589325.32999999996</v>
      </c>
      <c r="S208" s="65">
        <v>3935652.3</v>
      </c>
      <c r="T208" s="64">
        <f>+'Приложение №2'!E217-'Приложение №1'!P208-'Приложение №1'!Q208-'Приложение №1'!R208-'Приложение №1'!S208</f>
        <v>1915536.1659507221</v>
      </c>
      <c r="U208" s="65">
        <f>N208/K208</f>
        <v>2372.2839868690271</v>
      </c>
      <c r="V208" s="65">
        <v>1175.2830200640001</v>
      </c>
      <c r="W208" s="126">
        <v>2023</v>
      </c>
      <c r="X208" s="127" t="e">
        <f>+#REF!-'[1]Приложение №1'!$P359</f>
        <v>#REF!</v>
      </c>
      <c r="Z208" s="63">
        <f>SUM(AA208:AO208)</f>
        <v>7671098.7621156182</v>
      </c>
      <c r="AA208" s="64">
        <v>0</v>
      </c>
      <c r="AB208" s="64">
        <v>0</v>
      </c>
      <c r="AC208" s="64">
        <v>0</v>
      </c>
      <c r="AD208" s="64">
        <v>0</v>
      </c>
      <c r="AE208" s="64">
        <v>0</v>
      </c>
      <c r="AF208" s="64"/>
      <c r="AG208" s="64">
        <v>0</v>
      </c>
      <c r="AH208" s="64">
        <v>0</v>
      </c>
      <c r="AI208" s="64">
        <v>0</v>
      </c>
      <c r="AJ208" s="64">
        <v>4524977.6333963946</v>
      </c>
      <c r="AK208" s="64"/>
      <c r="AL208" s="64">
        <v>0</v>
      </c>
      <c r="AM208" s="64">
        <v>2437984.2294369629</v>
      </c>
      <c r="AN208" s="65">
        <v>243798.42294369626</v>
      </c>
      <c r="AO208" s="66">
        <v>464338.47633856395</v>
      </c>
      <c r="AP208" s="128">
        <f>+N208-'Приложение №2'!E217</f>
        <v>0</v>
      </c>
      <c r="AQ208" s="23">
        <f>2036159.03-955818.8-238954.7-238954.7008</f>
        <v>602430.82920000004</v>
      </c>
      <c r="AR208" s="25">
        <f t="shared" si="70"/>
        <v>386303.12099999993</v>
      </c>
      <c r="AS208" s="25">
        <f>+(K208*13.95+L208*23.65)*12*30-785411.714-946514.09-915077.42</f>
        <v>10987224.575999999</v>
      </c>
      <c r="AT208" s="127">
        <f>+S208-AS208</f>
        <v>-7051572.2759999996</v>
      </c>
      <c r="AU208" s="127">
        <f>+P208-'[6]Приложение №1'!$P462</f>
        <v>0</v>
      </c>
      <c r="AV208" s="127">
        <f>+Q208-'[6]Приложение №1'!$Q462</f>
        <v>0</v>
      </c>
      <c r="AW208" s="88">
        <f>SUBTOTAL(9,AX208:BL208)</f>
        <v>6440513.7959507219</v>
      </c>
      <c r="AX208" s="64">
        <v>0</v>
      </c>
      <c r="AY208" s="64">
        <v>0</v>
      </c>
      <c r="AZ208" s="64">
        <v>0</v>
      </c>
      <c r="BA208" s="64">
        <v>0</v>
      </c>
      <c r="BB208" s="64">
        <v>0</v>
      </c>
      <c r="BC208" s="64"/>
      <c r="BD208" s="64"/>
      <c r="BE208" s="64">
        <v>0</v>
      </c>
      <c r="BF208" s="64">
        <v>0</v>
      </c>
      <c r="BG208" s="64">
        <v>5976346.29</v>
      </c>
      <c r="BH208" s="64"/>
      <c r="BI208" s="64">
        <v>0</v>
      </c>
      <c r="BJ208" s="64"/>
      <c r="BK208" s="65"/>
      <c r="BL208" s="66">
        <v>464167.50595072238</v>
      </c>
    </row>
    <row r="209" spans="1:64" x14ac:dyDescent="0.25">
      <c r="A209" s="141">
        <f t="shared" ref="A209:A272" si="71">+A208+1</f>
        <v>191</v>
      </c>
      <c r="B209" s="142">
        <f t="shared" ref="B209:B272" si="72">+B208+1</f>
        <v>3</v>
      </c>
      <c r="C209" s="62" t="s">
        <v>49</v>
      </c>
      <c r="D209" s="62" t="s">
        <v>672</v>
      </c>
      <c r="E209" s="123">
        <v>1997</v>
      </c>
      <c r="F209" s="123">
        <v>2013</v>
      </c>
      <c r="G209" s="123" t="s">
        <v>43</v>
      </c>
      <c r="H209" s="123">
        <v>3</v>
      </c>
      <c r="I209" s="123">
        <v>3</v>
      </c>
      <c r="J209" s="64">
        <v>2554.6999999999998</v>
      </c>
      <c r="K209" s="64">
        <v>1158.4000000000001</v>
      </c>
      <c r="L209" s="64">
        <v>157.9</v>
      </c>
      <c r="M209" s="124">
        <v>40</v>
      </c>
      <c r="N209" s="95">
        <f t="shared" ref="N209:N257" si="73">+P209+Q209+R209+S209+T209</f>
        <v>11855689.549999999</v>
      </c>
      <c r="O209" s="64"/>
      <c r="P209" s="64">
        <f>+'Приложение №2'!E218-'Приложение №1'!R209-'Приложение №1'!S209</f>
        <v>5011117.5699999984</v>
      </c>
      <c r="Q209" s="64"/>
      <c r="R209" s="64">
        <f>+AQ209+AR209+647925.87</f>
        <v>1537451.98</v>
      </c>
      <c r="S209" s="64">
        <f>+AS209</f>
        <v>5307120</v>
      </c>
      <c r="T209" s="64">
        <f>+'Приложение №2'!E218-'Приложение №1'!P209-'Приложение №1'!Q209-'Приложение №1'!R209-'Приложение №1'!S209</f>
        <v>0</v>
      </c>
      <c r="U209" s="64">
        <f t="shared" ref="U209:V218" si="74">$N209/($K209+$L209)</f>
        <v>9006.8294081896202</v>
      </c>
      <c r="V209" s="64">
        <f t="shared" si="74"/>
        <v>9006.8294081896202</v>
      </c>
      <c r="W209" s="126">
        <v>2023</v>
      </c>
      <c r="X209" s="127" t="e">
        <f>+#REF!-'[1]Приложение №1'!$P1469</f>
        <v>#REF!</v>
      </c>
      <c r="Z209" s="95">
        <f>SUM(AA209:AO209)</f>
        <v>50522516.669999994</v>
      </c>
      <c r="AA209" s="64">
        <v>5373102.4124122793</v>
      </c>
      <c r="AB209" s="64">
        <v>2799379.0984185603</v>
      </c>
      <c r="AC209" s="64">
        <v>1158345.46972326</v>
      </c>
      <c r="AD209" s="64">
        <v>601928.63075688004</v>
      </c>
      <c r="AE209" s="64">
        <v>0</v>
      </c>
      <c r="AF209" s="64"/>
      <c r="AG209" s="64">
        <v>439165.68767148</v>
      </c>
      <c r="AH209" s="64">
        <v>0</v>
      </c>
      <c r="AI209" s="64">
        <v>12048310.589364</v>
      </c>
      <c r="AJ209" s="64">
        <v>4856893.85457318</v>
      </c>
      <c r="AK209" s="64">
        <v>13999412.94979164</v>
      </c>
      <c r="AL209" s="64">
        <v>2997543.6040317602</v>
      </c>
      <c r="AM209" s="64">
        <v>4775024.6969000008</v>
      </c>
      <c r="AN209" s="64">
        <v>505225.1667</v>
      </c>
      <c r="AO209" s="96">
        <v>968184.50965696003</v>
      </c>
      <c r="AP209" s="128">
        <f>+N209-'Приложение №2'!E218</f>
        <v>0</v>
      </c>
      <c r="AQ209" s="23">
        <v>739157.71</v>
      </c>
      <c r="AR209" s="25">
        <f t="shared" ref="AR209:AR218" si="75">+(K209*10+L209*20)*12*0.85</f>
        <v>150368.4</v>
      </c>
      <c r="AS209" s="25">
        <f>+(K209*10+L209*20)*12*30</f>
        <v>5307120</v>
      </c>
      <c r="AT209" s="127">
        <f t="shared" si="67"/>
        <v>0</v>
      </c>
      <c r="AU209" s="127">
        <f>+P209-'[6]Приложение №1'!$P209</f>
        <v>-2377908.3717176812</v>
      </c>
      <c r="AV209" s="127">
        <f>+Q209-'[6]Приложение №1'!$Q209</f>
        <v>0</v>
      </c>
      <c r="AW209" s="63">
        <f t="shared" ref="AW209:AW271" si="76">SUBTOTAL(9,AX209:BL209)</f>
        <v>11855689.549999999</v>
      </c>
      <c r="AX209" s="64"/>
      <c r="AY209" s="64"/>
      <c r="AZ209" s="64">
        <v>647925.87</v>
      </c>
      <c r="BA209" s="64"/>
      <c r="BB209" s="64">
        <v>0</v>
      </c>
      <c r="BC209" s="64"/>
      <c r="BD209" s="64"/>
      <c r="BE209" s="64">
        <v>0</v>
      </c>
      <c r="BF209" s="64">
        <v>4272787.71</v>
      </c>
      <c r="BG209" s="64"/>
      <c r="BH209" s="64">
        <v>5939807.0499999998</v>
      </c>
      <c r="BI209" s="64"/>
      <c r="BJ209" s="64"/>
      <c r="BK209" s="65"/>
      <c r="BL209" s="65">
        <v>995168.92</v>
      </c>
    </row>
    <row r="210" spans="1:64" s="74" customFormat="1" x14ac:dyDescent="0.25">
      <c r="A210" s="141">
        <f t="shared" si="71"/>
        <v>192</v>
      </c>
      <c r="B210" s="142">
        <f t="shared" si="72"/>
        <v>4</v>
      </c>
      <c r="C210" s="62" t="s">
        <v>50</v>
      </c>
      <c r="D210" s="62" t="s">
        <v>615</v>
      </c>
      <c r="E210" s="123" t="s">
        <v>111</v>
      </c>
      <c r="F210" s="123"/>
      <c r="G210" s="123" t="s">
        <v>43</v>
      </c>
      <c r="H210" s="123" t="s">
        <v>108</v>
      </c>
      <c r="I210" s="123" t="s">
        <v>109</v>
      </c>
      <c r="J210" s="64">
        <v>5474.4</v>
      </c>
      <c r="K210" s="64">
        <v>4591</v>
      </c>
      <c r="L210" s="64">
        <v>74.8</v>
      </c>
      <c r="M210" s="124">
        <v>142</v>
      </c>
      <c r="N210" s="95">
        <f t="shared" si="73"/>
        <v>5021854.2657324746</v>
      </c>
      <c r="O210" s="64">
        <v>0</v>
      </c>
      <c r="P210" s="65">
        <f>+'Приложение №2'!E219-'Приложение №1'!R210</f>
        <v>4538313.0657324744</v>
      </c>
      <c r="Q210" s="65">
        <v>0</v>
      </c>
      <c r="R210" s="65">
        <f>+AR210</f>
        <v>483541.2</v>
      </c>
      <c r="S210" s="65"/>
      <c r="T210" s="64">
        <f>+'Приложение №2'!E219-'Приложение №1'!P210-'Приложение №1'!Q210-'Приложение №1'!R210-'Приложение №1'!S210</f>
        <v>1.7462298274040222E-10</v>
      </c>
      <c r="U210" s="64">
        <f t="shared" si="74"/>
        <v>1076.3115147954209</v>
      </c>
      <c r="V210" s="64">
        <f t="shared" si="74"/>
        <v>1076.3115147954209</v>
      </c>
      <c r="W210" s="126">
        <v>2023</v>
      </c>
      <c r="X210" s="74">
        <v>1911755.57</v>
      </c>
      <c r="Y210" s="74">
        <f>+(K210*9.1+L210*18.19)*12</f>
        <v>517664.54399999999</v>
      </c>
      <c r="AA210" s="129">
        <f>+N210-'[5]Приложение № 2'!E201</f>
        <v>-23627370.315599367</v>
      </c>
      <c r="AD210" s="129">
        <f>+N210-'[5]Приложение № 2'!E201</f>
        <v>-23627370.315599367</v>
      </c>
      <c r="AP210" s="128">
        <f>+N210-'Приложение №2'!E219</f>
        <v>0</v>
      </c>
      <c r="AQ210" s="143">
        <f>2359832.72-R18</f>
        <v>-343147.54946666723</v>
      </c>
      <c r="AR210" s="25">
        <f t="shared" si="75"/>
        <v>483541.2</v>
      </c>
      <c r="AS210" s="25">
        <f>+(K210*10+L210*20)*12*30-S18</f>
        <v>-4053688.4800000004</v>
      </c>
      <c r="AT210" s="127">
        <f t="shared" si="67"/>
        <v>4053688.4800000004</v>
      </c>
      <c r="AU210" s="127">
        <f>+P210-'[6]Приложение №1'!$P211</f>
        <v>-644223.83446020167</v>
      </c>
      <c r="AV210" s="127">
        <f>+Q210-'[6]Приложение №1'!$Q211</f>
        <v>0</v>
      </c>
      <c r="AW210" s="63">
        <f t="shared" si="76"/>
        <v>5021854.2657324746</v>
      </c>
      <c r="AX210" s="64"/>
      <c r="AY210" s="64"/>
      <c r="AZ210" s="64">
        <v>3532583.6821182813</v>
      </c>
      <c r="BA210" s="64">
        <v>0</v>
      </c>
      <c r="BB210" s="64">
        <v>0</v>
      </c>
      <c r="BC210" s="64"/>
      <c r="BD210" s="64">
        <v>0</v>
      </c>
      <c r="BE210" s="64">
        <v>0</v>
      </c>
      <c r="BF210" s="64">
        <v>0</v>
      </c>
      <c r="BG210" s="64">
        <v>0</v>
      </c>
      <c r="BH210" s="64"/>
      <c r="BI210" s="64"/>
      <c r="BJ210" s="64">
        <v>840138.45000000007</v>
      </c>
      <c r="BK210" s="65"/>
      <c r="BL210" s="66">
        <v>649132.13361419411</v>
      </c>
    </row>
    <row r="211" spans="1:64" s="74" customFormat="1" x14ac:dyDescent="0.25">
      <c r="A211" s="141">
        <f t="shared" si="71"/>
        <v>193</v>
      </c>
      <c r="B211" s="142">
        <f t="shared" si="72"/>
        <v>5</v>
      </c>
      <c r="C211" s="62" t="s">
        <v>50</v>
      </c>
      <c r="D211" s="62" t="s">
        <v>616</v>
      </c>
      <c r="E211" s="123" t="s">
        <v>112</v>
      </c>
      <c r="F211" s="123"/>
      <c r="G211" s="123" t="s">
        <v>43</v>
      </c>
      <c r="H211" s="123" t="s">
        <v>108</v>
      </c>
      <c r="I211" s="123" t="s">
        <v>109</v>
      </c>
      <c r="J211" s="64">
        <v>4657</v>
      </c>
      <c r="K211" s="64">
        <v>4657</v>
      </c>
      <c r="L211" s="64">
        <v>0</v>
      </c>
      <c r="M211" s="124">
        <v>172</v>
      </c>
      <c r="N211" s="95">
        <f t="shared" si="73"/>
        <v>24300633.287183844</v>
      </c>
      <c r="O211" s="64">
        <v>0</v>
      </c>
      <c r="P211" s="65">
        <v>5072123.3467405867</v>
      </c>
      <c r="Q211" s="65">
        <v>0</v>
      </c>
      <c r="R211" s="65">
        <f>+AR211</f>
        <v>475014</v>
      </c>
      <c r="S211" s="65">
        <f>+AS211</f>
        <v>0</v>
      </c>
      <c r="T211" s="64">
        <f>+'Приложение №2'!E220-'Приложение №1'!P211-'Приложение №1'!Q211-'Приложение №1'!R211-'Приложение №1'!S211</f>
        <v>18753495.940443255</v>
      </c>
      <c r="U211" s="64">
        <f t="shared" si="74"/>
        <v>5218.0874569860089</v>
      </c>
      <c r="V211" s="64">
        <f t="shared" si="74"/>
        <v>5218.0874569860089</v>
      </c>
      <c r="W211" s="126">
        <v>2023</v>
      </c>
      <c r="X211" s="74">
        <v>1982772.77</v>
      </c>
      <c r="Y211" s="74">
        <f>+(K211*9.1+L211*18.19)*12</f>
        <v>508544.39999999997</v>
      </c>
      <c r="AA211" s="129">
        <f>+N211-'[5]Приложение № 2'!E202</f>
        <v>11150898.617183842</v>
      </c>
      <c r="AD211" s="129">
        <f>+N211-'[5]Приложение № 2'!E202</f>
        <v>11150898.617183842</v>
      </c>
      <c r="AP211" s="128">
        <f>+N211-'Приложение №2'!E220</f>
        <v>0</v>
      </c>
      <c r="AQ211" s="143">
        <f>2457007.84-R19</f>
        <v>-475014</v>
      </c>
      <c r="AR211" s="25">
        <f t="shared" si="75"/>
        <v>475014</v>
      </c>
      <c r="AS211" s="25">
        <f>+(K211*10+L211*20)*12*30-S19</f>
        <v>0</v>
      </c>
      <c r="AT211" s="127">
        <f t="shared" si="67"/>
        <v>0</v>
      </c>
      <c r="AU211" s="127">
        <f>+P211-'[6]Приложение №1'!$P212</f>
        <v>0</v>
      </c>
      <c r="AV211" s="127">
        <f>+Q211-'[6]Приложение №1'!$Q212</f>
        <v>0</v>
      </c>
      <c r="AW211" s="63">
        <f t="shared" si="76"/>
        <v>24300633.28718384</v>
      </c>
      <c r="AX211" s="64"/>
      <c r="AY211" s="64"/>
      <c r="AZ211" s="64">
        <v>3525921.0012484104</v>
      </c>
      <c r="BA211" s="64">
        <v>0</v>
      </c>
      <c r="BB211" s="64">
        <v>0</v>
      </c>
      <c r="BC211" s="64"/>
      <c r="BD211" s="64">
        <v>0</v>
      </c>
      <c r="BE211" s="64">
        <v>0</v>
      </c>
      <c r="BF211" s="64">
        <v>0</v>
      </c>
      <c r="BG211" s="64">
        <v>0</v>
      </c>
      <c r="BH211" s="64">
        <v>19328224.847108763</v>
      </c>
      <c r="BI211" s="64"/>
      <c r="BJ211" s="64">
        <v>852470.5</v>
      </c>
      <c r="BK211" s="65"/>
      <c r="BL211" s="66">
        <v>594016.9388266654</v>
      </c>
    </row>
    <row r="212" spans="1:64" s="74" customFormat="1" x14ac:dyDescent="0.25">
      <c r="A212" s="141">
        <f t="shared" si="71"/>
        <v>194</v>
      </c>
      <c r="B212" s="142">
        <f t="shared" si="72"/>
        <v>6</v>
      </c>
      <c r="C212" s="62" t="s">
        <v>50</v>
      </c>
      <c r="D212" s="62" t="s">
        <v>617</v>
      </c>
      <c r="E212" s="123" t="s">
        <v>113</v>
      </c>
      <c r="F212" s="123"/>
      <c r="G212" s="123" t="s">
        <v>43</v>
      </c>
      <c r="H212" s="123" t="s">
        <v>108</v>
      </c>
      <c r="I212" s="123" t="s">
        <v>105</v>
      </c>
      <c r="J212" s="64">
        <v>3725.7</v>
      </c>
      <c r="K212" s="64">
        <v>3170.6</v>
      </c>
      <c r="L212" s="64">
        <v>0</v>
      </c>
      <c r="M212" s="124">
        <v>120</v>
      </c>
      <c r="N212" s="95">
        <f t="shared" si="73"/>
        <v>16782576.263110645</v>
      </c>
      <c r="O212" s="64">
        <v>0</v>
      </c>
      <c r="P212" s="65">
        <v>7782041.3511919565</v>
      </c>
      <c r="Q212" s="65">
        <v>0</v>
      </c>
      <c r="R212" s="65">
        <f>+AR212</f>
        <v>323401.2</v>
      </c>
      <c r="S212" s="65"/>
      <c r="T212" s="65">
        <f>+'Приложение №2'!E221-'Приложение №1'!P212-'Приложение №1'!R212-'Приложение №1'!S212</f>
        <v>8677133.7119186893</v>
      </c>
      <c r="U212" s="64">
        <f t="shared" si="74"/>
        <v>5293.1862307167876</v>
      </c>
      <c r="V212" s="64">
        <f t="shared" si="74"/>
        <v>5293.1862307167876</v>
      </c>
      <c r="W212" s="126">
        <v>2023</v>
      </c>
      <c r="X212" s="74">
        <v>1250350.7</v>
      </c>
      <c r="Y212" s="74">
        <f>+(K212*9.1+L212*18.19)*12</f>
        <v>346229.52</v>
      </c>
      <c r="AA212" s="129">
        <f>+N212-'[5]Приложение № 2'!E203</f>
        <v>15223675.733110646</v>
      </c>
      <c r="AD212" s="129">
        <f>+N212-'[5]Приложение № 2'!E203</f>
        <v>15223675.733110646</v>
      </c>
      <c r="AP212" s="128">
        <f>+N212-'Приложение №2'!E221</f>
        <v>0</v>
      </c>
      <c r="AQ212" s="143">
        <f>1554485.44-R20</f>
        <v>-323401.19999999995</v>
      </c>
      <c r="AR212" s="25">
        <f t="shared" si="75"/>
        <v>323401.2</v>
      </c>
      <c r="AS212" s="25">
        <f>+(K212*10+L212*20)*12*30-S20</f>
        <v>0</v>
      </c>
      <c r="AT212" s="127">
        <f t="shared" si="67"/>
        <v>0</v>
      </c>
      <c r="AU212" s="127">
        <f>+P212-'[6]Приложение №1'!$P213</f>
        <v>0</v>
      </c>
      <c r="AV212" s="127">
        <f>+Q212-'[6]Приложение №1'!$Q213</f>
        <v>0</v>
      </c>
      <c r="AW212" s="63">
        <f t="shared" si="76"/>
        <v>16593212.285611872</v>
      </c>
      <c r="AX212" s="64"/>
      <c r="AY212" s="71"/>
      <c r="AZ212" s="64">
        <v>2400533.6325012259</v>
      </c>
      <c r="BA212" s="71">
        <v>0</v>
      </c>
      <c r="BB212" s="64">
        <v>0</v>
      </c>
      <c r="BC212" s="64"/>
      <c r="BD212" s="64">
        <v>0</v>
      </c>
      <c r="BE212" s="64">
        <v>0</v>
      </c>
      <c r="BF212" s="71">
        <v>0</v>
      </c>
      <c r="BG212" s="71">
        <v>0</v>
      </c>
      <c r="BH212" s="64">
        <v>13159130.27705455</v>
      </c>
      <c r="BI212" s="64"/>
      <c r="BJ212" s="64">
        <v>693290.04</v>
      </c>
      <c r="BK212" s="65"/>
      <c r="BL212" s="66">
        <v>340258.33605609403</v>
      </c>
    </row>
    <row r="213" spans="1:64" x14ac:dyDescent="0.25">
      <c r="A213" s="141">
        <f t="shared" si="71"/>
        <v>195</v>
      </c>
      <c r="B213" s="142">
        <f t="shared" si="72"/>
        <v>7</v>
      </c>
      <c r="C213" s="62" t="s">
        <v>51</v>
      </c>
      <c r="D213" s="62" t="s">
        <v>626</v>
      </c>
      <c r="E213" s="123">
        <v>1998</v>
      </c>
      <c r="F213" s="123">
        <v>1998</v>
      </c>
      <c r="G213" s="123" t="s">
        <v>43</v>
      </c>
      <c r="H213" s="123">
        <v>5</v>
      </c>
      <c r="I213" s="123">
        <v>4</v>
      </c>
      <c r="J213" s="64">
        <v>4979.8</v>
      </c>
      <c r="K213" s="64">
        <v>4317.2</v>
      </c>
      <c r="L213" s="64">
        <v>0</v>
      </c>
      <c r="M213" s="124">
        <v>170</v>
      </c>
      <c r="N213" s="63">
        <f>SUM(O213:T213)</f>
        <v>25831934.400962181</v>
      </c>
      <c r="O213" s="64"/>
      <c r="P213" s="65"/>
      <c r="Q213" s="65"/>
      <c r="R213" s="65">
        <v>149801.63</v>
      </c>
      <c r="S213" s="65">
        <v>2513071.7599999998</v>
      </c>
      <c r="T213" s="65">
        <f>+'Приложение №2'!E222-'Приложение №1'!P213-'Приложение №1'!R213-'Приложение №1'!S213</f>
        <v>23169061.010962181</v>
      </c>
      <c r="U213" s="65">
        <f>N213/K213</f>
        <v>5983.4926343375755</v>
      </c>
      <c r="V213" s="65">
        <v>1180.2830200640001</v>
      </c>
      <c r="W213" s="126">
        <v>2023</v>
      </c>
      <c r="X213" s="127" t="e">
        <f>+#REF!-'[1]Приложение №1'!$P1316</f>
        <v>#REF!</v>
      </c>
      <c r="Z213" s="63">
        <f>SUM(AA213:AO213)</f>
        <v>27698101.323736895</v>
      </c>
      <c r="AA213" s="64">
        <v>12131968.210906873</v>
      </c>
      <c r="AB213" s="64">
        <v>5844352.9357768334</v>
      </c>
      <c r="AC213" s="64">
        <v>3569164.9191403314</v>
      </c>
      <c r="AD213" s="64">
        <v>2405162.5578562059</v>
      </c>
      <c r="AE213" s="64">
        <v>0</v>
      </c>
      <c r="AF213" s="64"/>
      <c r="AG213" s="64">
        <v>391844.91901863407</v>
      </c>
      <c r="AH213" s="64">
        <v>0</v>
      </c>
      <c r="AI213" s="64">
        <v>0</v>
      </c>
      <c r="AJ213" s="64">
        <v>0</v>
      </c>
      <c r="AK213" s="64">
        <v>0</v>
      </c>
      <c r="AL213" s="64">
        <v>0</v>
      </c>
      <c r="AM213" s="64">
        <v>2546305.7359043118</v>
      </c>
      <c r="AN213" s="65">
        <v>276981.01323736901</v>
      </c>
      <c r="AO213" s="66">
        <v>532321.03189633763</v>
      </c>
      <c r="AP213" s="128">
        <f>+N213-'Приложение №2'!E222</f>
        <v>0</v>
      </c>
      <c r="AQ213" s="23">
        <f>2564742.71-1318564.22</f>
        <v>1246178.49</v>
      </c>
      <c r="AR213" s="25">
        <f>+(K213*10.5+L213*21)*12*0.85</f>
        <v>462372.11999999994</v>
      </c>
      <c r="AS213" s="25">
        <f>+(K213*10.5+L213*21)*12*30</f>
        <v>16319015.999999998</v>
      </c>
      <c r="AT213" s="127">
        <f>+S213-AS213</f>
        <v>-13805944.239999998</v>
      </c>
      <c r="AU213" s="127">
        <f>+P213-'[6]Приложение №1'!$P467</f>
        <v>-2740842.16343422</v>
      </c>
      <c r="AV213" s="127">
        <f>+Q213-'[6]Приложение №1'!$Q467</f>
        <v>0</v>
      </c>
      <c r="AW213" s="88">
        <f>SUBTOTAL(9,AX213:BL213)</f>
        <v>25831934.400962178</v>
      </c>
      <c r="AX213" s="64">
        <v>12131968.210906873</v>
      </c>
      <c r="AY213" s="64">
        <v>6473660.0199999996</v>
      </c>
      <c r="AZ213" s="64">
        <v>3569164.9191403314</v>
      </c>
      <c r="BA213" s="64">
        <v>2732975.3</v>
      </c>
      <c r="BB213" s="64">
        <v>0</v>
      </c>
      <c r="BC213" s="64"/>
      <c r="BD213" s="64">
        <v>391844.91901863407</v>
      </c>
      <c r="BE213" s="64">
        <v>0</v>
      </c>
      <c r="BF213" s="64">
        <v>0</v>
      </c>
      <c r="BG213" s="64">
        <v>0</v>
      </c>
      <c r="BH213" s="64">
        <v>0</v>
      </c>
      <c r="BI213" s="64">
        <v>0</v>
      </c>
      <c r="BJ213" s="64"/>
      <c r="BK213" s="65"/>
      <c r="BL213" s="66">
        <v>532321.03189633763</v>
      </c>
    </row>
    <row r="214" spans="1:64" x14ac:dyDescent="0.25">
      <c r="A214" s="141">
        <f t="shared" si="71"/>
        <v>196</v>
      </c>
      <c r="B214" s="142">
        <f t="shared" si="72"/>
        <v>8</v>
      </c>
      <c r="C214" s="62" t="s">
        <v>51</v>
      </c>
      <c r="D214" s="62" t="s">
        <v>623</v>
      </c>
      <c r="E214" s="123">
        <v>1993</v>
      </c>
      <c r="F214" s="123">
        <v>2012</v>
      </c>
      <c r="G214" s="123" t="s">
        <v>43</v>
      </c>
      <c r="H214" s="123">
        <v>3</v>
      </c>
      <c r="I214" s="123">
        <v>1</v>
      </c>
      <c r="J214" s="64">
        <v>1090</v>
      </c>
      <c r="K214" s="64">
        <v>942.47</v>
      </c>
      <c r="L214" s="64">
        <v>0</v>
      </c>
      <c r="M214" s="124">
        <v>33</v>
      </c>
      <c r="N214" s="63">
        <f>SUM(O214:T214)</f>
        <v>792318.11290502013</v>
      </c>
      <c r="O214" s="64"/>
      <c r="P214" s="65"/>
      <c r="Q214" s="65"/>
      <c r="R214" s="65">
        <f>+AQ214+AR214</f>
        <v>592092.87232301186</v>
      </c>
      <c r="S214" s="65">
        <f>+'Приложение №2'!E223-'Приложение №1'!R214</f>
        <v>200225.24058200826</v>
      </c>
      <c r="T214" s="65">
        <v>5.8207660913467407E-11</v>
      </c>
      <c r="U214" s="65">
        <f>N214/K214</f>
        <v>840.68258183816999</v>
      </c>
      <c r="V214" s="65">
        <v>1185.2830200640001</v>
      </c>
      <c r="W214" s="126">
        <v>2023</v>
      </c>
      <c r="X214" s="127" t="e">
        <f>+#REF!-'[1]Приложение №1'!$P1051</f>
        <v>#REF!</v>
      </c>
      <c r="Z214" s="63">
        <f>SUM(AA214:AO214)</f>
        <v>1353938.3335296002</v>
      </c>
      <c r="AA214" s="64">
        <v>0</v>
      </c>
      <c r="AB214" s="64">
        <v>0</v>
      </c>
      <c r="AC214" s="64">
        <v>766834.98031195218</v>
      </c>
      <c r="AD214" s="64">
        <v>398482.47555609996</v>
      </c>
      <c r="AE214" s="64">
        <v>0</v>
      </c>
      <c r="AF214" s="64"/>
      <c r="AG214" s="64">
        <v>0</v>
      </c>
      <c r="AH214" s="64">
        <v>0</v>
      </c>
      <c r="AI214" s="64">
        <v>0</v>
      </c>
      <c r="AJ214" s="64">
        <v>0</v>
      </c>
      <c r="AK214" s="64">
        <v>0</v>
      </c>
      <c r="AL214" s="64">
        <v>0</v>
      </c>
      <c r="AM214" s="64">
        <v>149598.36173318402</v>
      </c>
      <c r="AN214" s="65">
        <v>13539.383335296003</v>
      </c>
      <c r="AO214" s="66">
        <v>25483.132593067974</v>
      </c>
      <c r="AP214" s="128">
        <f>+N214-'Приложение №2'!E223</f>
        <v>0</v>
      </c>
      <c r="AQ214" s="127">
        <f>604232.6-R24</f>
        <v>491154.33532301191</v>
      </c>
      <c r="AR214" s="25">
        <f>+(K214*10.5+L214*21)*12*0.85</f>
        <v>100938.537</v>
      </c>
      <c r="AS214" s="25">
        <f>+(K214*10.5+L214*21)*12*30</f>
        <v>3562536.6</v>
      </c>
      <c r="AT214" s="127">
        <f>+S214-AS214</f>
        <v>-3362311.3594179917</v>
      </c>
      <c r="AU214" s="127">
        <f>+P214-'[6]Приложение №1'!$P472</f>
        <v>0</v>
      </c>
      <c r="AV214" s="127">
        <f>+Q214-'[6]Приложение №1'!$Q472</f>
        <v>0</v>
      </c>
      <c r="AW214" s="88">
        <f>SUBTOTAL(9,AX214:BL214)</f>
        <v>792318.11290502013</v>
      </c>
      <c r="AX214" s="64">
        <v>0</v>
      </c>
      <c r="AY214" s="64">
        <v>0</v>
      </c>
      <c r="AZ214" s="64">
        <v>766834.98031195218</v>
      </c>
      <c r="BA214" s="64"/>
      <c r="BB214" s="64">
        <v>0</v>
      </c>
      <c r="BC214" s="64"/>
      <c r="BD214" s="64"/>
      <c r="BE214" s="64">
        <v>0</v>
      </c>
      <c r="BF214" s="64">
        <v>0</v>
      </c>
      <c r="BG214" s="64">
        <v>0</v>
      </c>
      <c r="BH214" s="64">
        <v>0</v>
      </c>
      <c r="BI214" s="64">
        <v>0</v>
      </c>
      <c r="BJ214" s="64"/>
      <c r="BK214" s="65"/>
      <c r="BL214" s="66">
        <v>25483.132593067974</v>
      </c>
    </row>
    <row r="215" spans="1:64" x14ac:dyDescent="0.25">
      <c r="A215" s="141">
        <f t="shared" si="71"/>
        <v>197</v>
      </c>
      <c r="B215" s="142">
        <f t="shared" si="72"/>
        <v>9</v>
      </c>
      <c r="C215" s="62" t="s">
        <v>51</v>
      </c>
      <c r="D215" s="62" t="s">
        <v>627</v>
      </c>
      <c r="E215" s="123">
        <v>1996</v>
      </c>
      <c r="F215" s="123">
        <v>1996</v>
      </c>
      <c r="G215" s="123" t="s">
        <v>43</v>
      </c>
      <c r="H215" s="123">
        <v>5</v>
      </c>
      <c r="I215" s="123">
        <v>4</v>
      </c>
      <c r="J215" s="64">
        <v>3635.6</v>
      </c>
      <c r="K215" s="64">
        <v>3076.7</v>
      </c>
      <c r="L215" s="64">
        <v>0</v>
      </c>
      <c r="M215" s="124">
        <v>99</v>
      </c>
      <c r="N215" s="63">
        <f t="shared" ref="N215" si="77">SUM(O215:T215)</f>
        <v>16247733.694227014</v>
      </c>
      <c r="O215" s="64"/>
      <c r="P215" s="65"/>
      <c r="Q215" s="65"/>
      <c r="R215" s="65">
        <v>576501.1</v>
      </c>
      <c r="S215" s="65">
        <v>2240191.5700000003</v>
      </c>
      <c r="T215" s="65">
        <f>+'Приложение №2'!E224-'Приложение №1'!P215-'Приложение №1'!R215-'Приложение №1'!S215</f>
        <v>13431041.024227014</v>
      </c>
      <c r="U215" s="65">
        <f t="shared" ref="U215" si="78">N215/K215</f>
        <v>5280.8963156066611</v>
      </c>
      <c r="V215" s="65">
        <v>1182.2830200640001</v>
      </c>
      <c r="W215" s="126">
        <v>2023</v>
      </c>
      <c r="X215" s="127" t="e">
        <f>+#REF!-'[1]Приложение №1'!$P1034</f>
        <v>#REF!</v>
      </c>
      <c r="Z215" s="63">
        <f t="shared" ref="Z215" si="79">SUM(AA215:AO215)</f>
        <v>19793523.878556482</v>
      </c>
      <c r="AA215" s="64">
        <v>8669706.261442598</v>
      </c>
      <c r="AB215" s="64">
        <v>4176471.8107184474</v>
      </c>
      <c r="AC215" s="64">
        <v>2550584.6132842074</v>
      </c>
      <c r="AD215" s="64">
        <v>1718769.1663160517</v>
      </c>
      <c r="AE215" s="64">
        <v>0</v>
      </c>
      <c r="AF215" s="64"/>
      <c r="AG215" s="64">
        <v>280018.89626418491</v>
      </c>
      <c r="AH215" s="64">
        <v>0</v>
      </c>
      <c r="AI215" s="64">
        <v>0</v>
      </c>
      <c r="AJ215" s="64">
        <v>0</v>
      </c>
      <c r="AK215" s="64">
        <v>0</v>
      </c>
      <c r="AL215" s="64">
        <v>0</v>
      </c>
      <c r="AM215" s="64">
        <v>1819632.4288313186</v>
      </c>
      <c r="AN215" s="65">
        <v>197935.23878556484</v>
      </c>
      <c r="AO215" s="66">
        <v>380405.46291410743</v>
      </c>
      <c r="AP215" s="128">
        <f>+N215-'Приложение №2'!E224</f>
        <v>0</v>
      </c>
      <c r="AQ215" s="23">
        <v>1855261.06</v>
      </c>
      <c r="AR215" s="25">
        <f t="shared" ref="AR215" si="80">+(K215*10.5+L215*21)*12*0.85</f>
        <v>329514.56999999995</v>
      </c>
      <c r="AS215" s="25">
        <f>+(K215*10.5+L215*21)*12*30</f>
        <v>11629925.999999998</v>
      </c>
      <c r="AT215" s="127">
        <f t="shared" si="67"/>
        <v>-9389734.4299999978</v>
      </c>
      <c r="AU215" s="127">
        <f>+P215-'[6]Приложение №1'!$P184</f>
        <v>0</v>
      </c>
      <c r="AV215" s="127">
        <f>+Q215-'[6]Приложение №1'!$Q184</f>
        <v>0</v>
      </c>
      <c r="AW215" s="88">
        <f t="shared" si="76"/>
        <v>16247733.694227014</v>
      </c>
      <c r="AX215" s="64">
        <v>8669706.261442598</v>
      </c>
      <c r="AY215" s="64">
        <v>4584326.74</v>
      </c>
      <c r="AZ215" s="64"/>
      <c r="BA215" s="64">
        <v>2323772.17</v>
      </c>
      <c r="BB215" s="64">
        <v>0</v>
      </c>
      <c r="BC215" s="64"/>
      <c r="BD215" s="64">
        <v>280018.89626418491</v>
      </c>
      <c r="BE215" s="64">
        <v>0</v>
      </c>
      <c r="BF215" s="64">
        <v>0</v>
      </c>
      <c r="BG215" s="64">
        <v>0</v>
      </c>
      <c r="BH215" s="64">
        <v>0</v>
      </c>
      <c r="BI215" s="64">
        <v>0</v>
      </c>
      <c r="BJ215" s="64"/>
      <c r="BK215" s="65"/>
      <c r="BL215" s="66">
        <v>389909.62652023067</v>
      </c>
    </row>
    <row r="216" spans="1:64" x14ac:dyDescent="0.25">
      <c r="A216" s="141">
        <f t="shared" si="71"/>
        <v>198</v>
      </c>
      <c r="B216" s="142">
        <f t="shared" si="72"/>
        <v>10</v>
      </c>
      <c r="C216" s="62" t="s">
        <v>51</v>
      </c>
      <c r="D216" s="62" t="s">
        <v>625</v>
      </c>
      <c r="E216" s="123">
        <v>1989</v>
      </c>
      <c r="F216" s="123">
        <v>2012</v>
      </c>
      <c r="G216" s="123" t="s">
        <v>43</v>
      </c>
      <c r="H216" s="123">
        <v>5</v>
      </c>
      <c r="I216" s="123">
        <v>4</v>
      </c>
      <c r="J216" s="64">
        <v>5759.5</v>
      </c>
      <c r="K216" s="64">
        <v>4823.5</v>
      </c>
      <c r="L216" s="64">
        <v>45.7</v>
      </c>
      <c r="M216" s="124">
        <v>161</v>
      </c>
      <c r="N216" s="95">
        <f t="shared" si="73"/>
        <v>17681801.270366538</v>
      </c>
      <c r="O216" s="64"/>
      <c r="P216" s="65"/>
      <c r="Q216" s="65"/>
      <c r="R216" s="65">
        <v>835185.52</v>
      </c>
      <c r="S216" s="65">
        <v>862922.13</v>
      </c>
      <c r="T216" s="65">
        <f>+'Приложение №2'!E225-'Приложение №1'!P216-'Приложение №1'!R216-'Приложение №1'!S216</f>
        <v>15983693.620366538</v>
      </c>
      <c r="U216" s="64">
        <f t="shared" si="74"/>
        <v>3631.3565411908608</v>
      </c>
      <c r="V216" s="64">
        <f t="shared" si="74"/>
        <v>3631.3565411908608</v>
      </c>
      <c r="W216" s="126">
        <v>2023</v>
      </c>
      <c r="X216" s="127" t="e">
        <f>+#REF!-'[1]Приложение №1'!$P1506</f>
        <v>#REF!</v>
      </c>
      <c r="Z216" s="63">
        <f>SUM(AA216:AO216)</f>
        <v>25451028.17090496</v>
      </c>
      <c r="AA216" s="64">
        <v>0</v>
      </c>
      <c r="AB216" s="64">
        <v>0</v>
      </c>
      <c r="AC216" s="64">
        <v>0</v>
      </c>
      <c r="AD216" s="64">
        <v>0</v>
      </c>
      <c r="AE216" s="64">
        <v>0</v>
      </c>
      <c r="AF216" s="64"/>
      <c r="AG216" s="64">
        <v>0</v>
      </c>
      <c r="AH216" s="64">
        <v>0</v>
      </c>
      <c r="AI216" s="64">
        <v>0</v>
      </c>
      <c r="AJ216" s="64">
        <v>8223538.8330426235</v>
      </c>
      <c r="AK216" s="64">
        <v>10255795.807027867</v>
      </c>
      <c r="AL216" s="64">
        <v>3687340.1494918675</v>
      </c>
      <c r="AM216" s="64">
        <v>2545102.8170904964</v>
      </c>
      <c r="AN216" s="65">
        <v>254510.28170904962</v>
      </c>
      <c r="AO216" s="66">
        <v>484740.28254305595</v>
      </c>
      <c r="AP216" s="128">
        <f>+N216-'Приложение №2'!E225</f>
        <v>0</v>
      </c>
      <c r="AQ216" s="23">
        <v>2384141.34</v>
      </c>
      <c r="AR216" s="25">
        <f t="shared" si="75"/>
        <v>501319.8</v>
      </c>
      <c r="AS216" s="25">
        <f t="shared" ref="AS216:AS218" si="81">+(K216*10+L216*20)*12*30</f>
        <v>17693640</v>
      </c>
      <c r="AT216" s="127">
        <f t="shared" si="67"/>
        <v>-16830717.870000001</v>
      </c>
      <c r="AU216" s="127">
        <f>+P216-'[6]Приложение №1'!$P215</f>
        <v>-1586711.6355164612</v>
      </c>
      <c r="AV216" s="127">
        <f>+Q216-'[6]Приложение №1'!$Q215</f>
        <v>0</v>
      </c>
      <c r="AW216" s="63">
        <f t="shared" si="76"/>
        <v>17681801.270366538</v>
      </c>
      <c r="AX216" s="64">
        <v>0</v>
      </c>
      <c r="AY216" s="64">
        <v>0</v>
      </c>
      <c r="AZ216" s="64">
        <v>3130340.41</v>
      </c>
      <c r="BA216" s="64">
        <v>2723483.78</v>
      </c>
      <c r="BB216" s="64">
        <v>0</v>
      </c>
      <c r="BC216" s="64"/>
      <c r="BD216" s="64"/>
      <c r="BE216" s="64">
        <v>0</v>
      </c>
      <c r="BF216" s="64">
        <v>0</v>
      </c>
      <c r="BG216" s="64">
        <v>6881364.6500000004</v>
      </c>
      <c r="BH216" s="64">
        <v>4596356.03</v>
      </c>
      <c r="BI216" s="64"/>
      <c r="BJ216" s="64"/>
      <c r="BK216" s="65"/>
      <c r="BL216" s="66">
        <f>179832.138797376+170424.261569162</f>
        <v>350256.40036653797</v>
      </c>
    </row>
    <row r="217" spans="1:64" s="74" customFormat="1" x14ac:dyDescent="0.25">
      <c r="A217" s="141">
        <f t="shared" si="71"/>
        <v>199</v>
      </c>
      <c r="B217" s="142">
        <f t="shared" si="72"/>
        <v>11</v>
      </c>
      <c r="C217" s="62" t="s">
        <v>966</v>
      </c>
      <c r="D217" s="62" t="s">
        <v>929</v>
      </c>
      <c r="E217" s="123" t="s">
        <v>120</v>
      </c>
      <c r="F217" s="123"/>
      <c r="G217" s="123" t="s">
        <v>43</v>
      </c>
      <c r="H217" s="123" t="s">
        <v>108</v>
      </c>
      <c r="I217" s="123" t="s">
        <v>108</v>
      </c>
      <c r="J217" s="64">
        <v>4283</v>
      </c>
      <c r="K217" s="64">
        <v>3860.1</v>
      </c>
      <c r="L217" s="64">
        <v>409</v>
      </c>
      <c r="M217" s="124">
        <v>142</v>
      </c>
      <c r="N217" s="95">
        <f t="shared" si="73"/>
        <v>19011954.027682688</v>
      </c>
      <c r="O217" s="64">
        <v>0</v>
      </c>
      <c r="P217" s="65">
        <f>+'Приложение №2'!E226-'Приложение №1'!R217-'Приложение №1'!S217</f>
        <v>355410.43768268824</v>
      </c>
      <c r="Q217" s="65">
        <v>0</v>
      </c>
      <c r="R217" s="65">
        <f t="shared" ref="R217:R218" si="82">+AQ217+AR217</f>
        <v>1815383.5899999999</v>
      </c>
      <c r="S217" s="65">
        <f t="shared" ref="S217:S218" si="83">+AS217</f>
        <v>16841160</v>
      </c>
      <c r="T217" s="65">
        <f>+'Приложение №2'!E226-'Приложение №1'!P217-'Приложение №1'!R217-'Приложение №1'!S217</f>
        <v>0</v>
      </c>
      <c r="U217" s="64">
        <f t="shared" si="74"/>
        <v>4453.3869030200012</v>
      </c>
      <c r="V217" s="64">
        <f t="shared" si="74"/>
        <v>4453.3869030200012</v>
      </c>
      <c r="W217" s="126">
        <v>2023</v>
      </c>
      <c r="X217" s="74">
        <v>1086066.79</v>
      </c>
      <c r="Y217" s="74">
        <f t="shared" ref="Y217:Y218" si="84">+(K217*9.1+L217*18.19)*12</f>
        <v>510799.43999999994</v>
      </c>
      <c r="AA217" s="129">
        <f>+N217-'[5]Приложение № 2'!E206</f>
        <v>5882771.7276826873</v>
      </c>
      <c r="AD217" s="129">
        <f>+N217-'[5]Приложение № 2'!E206</f>
        <v>5882771.7276826873</v>
      </c>
      <c r="AP217" s="128">
        <f>+N217-'Приложение №2'!E226</f>
        <v>0</v>
      </c>
      <c r="AQ217" s="74">
        <v>1338217.3899999999</v>
      </c>
      <c r="AR217" s="25">
        <f>+(K217*10+L217*20)*12*0.85</f>
        <v>477166.2</v>
      </c>
      <c r="AS217" s="25">
        <f>+(K217*10+L217*20)*12*30</f>
        <v>16841160</v>
      </c>
      <c r="AT217" s="127">
        <f t="shared" si="67"/>
        <v>0</v>
      </c>
      <c r="AU217" s="127">
        <f>+P217-'[6]Приложение №1'!$P217</f>
        <v>-1231301.197833773</v>
      </c>
      <c r="AV217" s="127">
        <f>+Q217-'[6]Приложение №1'!$Q217</f>
        <v>0</v>
      </c>
      <c r="AW217" s="63">
        <f t="shared" si="76"/>
        <v>19011954.027682688</v>
      </c>
      <c r="AX217" s="64"/>
      <c r="AY217" s="64"/>
      <c r="AZ217" s="64"/>
      <c r="BA217" s="64"/>
      <c r="BB217" s="64"/>
      <c r="BC217" s="64"/>
      <c r="BD217" s="64"/>
      <c r="BE217" s="64"/>
      <c r="BF217" s="64">
        <v>15127234.201704457</v>
      </c>
      <c r="BG217" s="64"/>
      <c r="BH217" s="64"/>
      <c r="BI217" s="64">
        <v>0</v>
      </c>
      <c r="BJ217" s="64">
        <v>2692288.6746999999</v>
      </c>
      <c r="BK217" s="65">
        <v>400835.67271109129</v>
      </c>
      <c r="BL217" s="66">
        <v>791595.47856713797</v>
      </c>
    </row>
    <row r="218" spans="1:64" s="74" customFormat="1" x14ac:dyDescent="0.25">
      <c r="A218" s="141">
        <f t="shared" si="71"/>
        <v>200</v>
      </c>
      <c r="B218" s="142">
        <f t="shared" si="72"/>
        <v>12</v>
      </c>
      <c r="C218" s="62" t="s">
        <v>966</v>
      </c>
      <c r="D218" s="62" t="s">
        <v>930</v>
      </c>
      <c r="E218" s="123" t="s">
        <v>121</v>
      </c>
      <c r="F218" s="123"/>
      <c r="G218" s="123" t="s">
        <v>43</v>
      </c>
      <c r="H218" s="123" t="s">
        <v>108</v>
      </c>
      <c r="I218" s="123" t="s">
        <v>101</v>
      </c>
      <c r="J218" s="64">
        <v>3806</v>
      </c>
      <c r="K218" s="64">
        <v>3356.9</v>
      </c>
      <c r="L218" s="64">
        <v>351</v>
      </c>
      <c r="M218" s="124">
        <v>104</v>
      </c>
      <c r="N218" s="95">
        <f t="shared" si="73"/>
        <v>16512713.297707859</v>
      </c>
      <c r="O218" s="64">
        <v>0</v>
      </c>
      <c r="P218" s="65">
        <f>+'Приложение №2'!E227-'Приложение №1'!R218-'Приложение №1'!S218</f>
        <v>177246.17770785838</v>
      </c>
      <c r="Q218" s="65">
        <v>0</v>
      </c>
      <c r="R218" s="65">
        <f t="shared" si="82"/>
        <v>1723427.12</v>
      </c>
      <c r="S218" s="65">
        <f t="shared" si="83"/>
        <v>14612040</v>
      </c>
      <c r="T218" s="65">
        <f>+'Приложение №2'!E227-'Приложение №1'!P218-'Приложение №1'!R218-'Приложение №1'!S218</f>
        <v>0</v>
      </c>
      <c r="U218" s="64">
        <f t="shared" si="74"/>
        <v>4453.3869030200003</v>
      </c>
      <c r="V218" s="64">
        <f t="shared" si="74"/>
        <v>4453.3869030200003</v>
      </c>
      <c r="W218" s="126">
        <v>2023</v>
      </c>
      <c r="X218" s="74">
        <v>1052695.6299999999</v>
      </c>
      <c r="Y218" s="74">
        <f t="shared" si="84"/>
        <v>443189.76000000001</v>
      </c>
      <c r="AA218" s="129">
        <f>+N218-'[5]Приложение № 2'!E207</f>
        <v>3169894.4577078577</v>
      </c>
      <c r="AD218" s="129">
        <f>+N218-'[5]Приложение № 2'!E207</f>
        <v>3169894.4577078577</v>
      </c>
      <c r="AP218" s="128">
        <f>+N218-'Приложение №2'!E227</f>
        <v>0</v>
      </c>
      <c r="AQ218" s="74">
        <v>1309419.32</v>
      </c>
      <c r="AR218" s="25">
        <f t="shared" si="75"/>
        <v>414007.8</v>
      </c>
      <c r="AS218" s="25">
        <f t="shared" si="81"/>
        <v>14612040</v>
      </c>
      <c r="AT218" s="127">
        <f t="shared" si="67"/>
        <v>0</v>
      </c>
      <c r="AU218" s="127">
        <f>+P218-'[6]Приложение №1'!$P218</f>
        <v>-1208561.7824686121</v>
      </c>
      <c r="AV218" s="127">
        <f>+Q218-'[6]Приложение №1'!$Q218</f>
        <v>0</v>
      </c>
      <c r="AW218" s="63">
        <f t="shared" si="76"/>
        <v>16512713.297707859</v>
      </c>
      <c r="AX218" s="64"/>
      <c r="AY218" s="64"/>
      <c r="AZ218" s="64"/>
      <c r="BA218" s="64"/>
      <c r="BB218" s="64"/>
      <c r="BC218" s="64"/>
      <c r="BD218" s="64"/>
      <c r="BE218" s="64"/>
      <c r="BF218" s="64">
        <v>13110233.174834039</v>
      </c>
      <c r="BG218" s="64"/>
      <c r="BH218" s="64"/>
      <c r="BI218" s="64">
        <v>0</v>
      </c>
      <c r="BJ218" s="64">
        <v>2367423.2642999999</v>
      </c>
      <c r="BK218" s="65">
        <v>348143.3067497728</v>
      </c>
      <c r="BL218" s="66">
        <v>686913.55182404874</v>
      </c>
    </row>
    <row r="219" spans="1:64" x14ac:dyDescent="0.25">
      <c r="A219" s="141">
        <f t="shared" si="71"/>
        <v>201</v>
      </c>
      <c r="B219" s="142">
        <f t="shared" si="72"/>
        <v>13</v>
      </c>
      <c r="C219" s="62" t="s">
        <v>82</v>
      </c>
      <c r="D219" s="62" t="s">
        <v>1063</v>
      </c>
      <c r="E219" s="123">
        <v>1987</v>
      </c>
      <c r="F219" s="123">
        <v>2017</v>
      </c>
      <c r="G219" s="123" t="s">
        <v>43</v>
      </c>
      <c r="H219" s="123">
        <v>9</v>
      </c>
      <c r="I219" s="123">
        <v>5</v>
      </c>
      <c r="J219" s="64">
        <v>12250.3</v>
      </c>
      <c r="K219" s="64">
        <v>9272.2999999999993</v>
      </c>
      <c r="L219" s="64">
        <v>330.7</v>
      </c>
      <c r="M219" s="124">
        <v>376</v>
      </c>
      <c r="N219" s="65">
        <f>+P219+Q219+R219+S219</f>
        <v>16349155.862697219</v>
      </c>
      <c r="O219" s="64"/>
      <c r="P219" s="65"/>
      <c r="Q219" s="65"/>
      <c r="R219" s="65">
        <f t="shared" ref="R219:R224" si="85">+AQ219+AR219</f>
        <v>8856348.2780000009</v>
      </c>
      <c r="S219" s="65">
        <f>+'Приложение №2'!E228-'Приложение №1'!R219</f>
        <v>7492807.5846972186</v>
      </c>
      <c r="T219" s="65">
        <v>0</v>
      </c>
      <c r="U219" s="65">
        <f t="shared" ref="U219:U224" si="86">N219/K219</f>
        <v>1763.2255063681309</v>
      </c>
      <c r="V219" s="65">
        <v>1189.2830200640001</v>
      </c>
      <c r="W219" s="126">
        <v>2023</v>
      </c>
      <c r="X219" s="127" t="e">
        <f>+#REF!-'[1]Приложение №1'!$P565</f>
        <v>#REF!</v>
      </c>
      <c r="Z219" s="63">
        <f t="shared" ref="Z219:Z224" si="87">SUM(AA219:AO219)</f>
        <v>18369838.047974408</v>
      </c>
      <c r="AA219" s="64">
        <v>0</v>
      </c>
      <c r="AB219" s="64">
        <v>0</v>
      </c>
      <c r="AC219" s="64">
        <v>0</v>
      </c>
      <c r="AD219" s="64">
        <v>0</v>
      </c>
      <c r="AE219" s="64">
        <v>0</v>
      </c>
      <c r="AF219" s="64"/>
      <c r="AG219" s="64">
        <v>0</v>
      </c>
      <c r="AH219" s="64">
        <v>0</v>
      </c>
      <c r="AI219" s="64">
        <v>0</v>
      </c>
      <c r="AJ219" s="64">
        <v>15999283.927235499</v>
      </c>
      <c r="AK219" s="64">
        <v>0</v>
      </c>
      <c r="AL219" s="64">
        <v>0</v>
      </c>
      <c r="AM219" s="64">
        <v>1836983.8047974405</v>
      </c>
      <c r="AN219" s="65">
        <v>183698.38047974405</v>
      </c>
      <c r="AO219" s="66">
        <v>349871.93546172051</v>
      </c>
      <c r="AP219" s="128">
        <f>+N219-'Приложение №2'!E228</f>
        <v>0</v>
      </c>
      <c r="AQ219" s="38">
        <v>7457217.9500000002</v>
      </c>
      <c r="AR219" s="25">
        <f>+(K219*13.95+L219*23.65)*12*0.85</f>
        <v>1399130.3279999997</v>
      </c>
      <c r="AS219" s="25">
        <f>+(K219*13.95+L219*23.65)*12*30</f>
        <v>49381070.399999991</v>
      </c>
      <c r="AT219" s="127">
        <f t="shared" ref="AT219:AT224" si="88">+S219-AS219</f>
        <v>-41888262.815302774</v>
      </c>
      <c r="AU219" s="127">
        <f>+P219-'[6]Приложение №1'!$P475</f>
        <v>0</v>
      </c>
      <c r="AV219" s="127">
        <f>+Q219-'[6]Приложение №1'!$Q475</f>
        <v>0</v>
      </c>
      <c r="AW219" s="88">
        <f t="shared" si="76"/>
        <v>16349155.862697219</v>
      </c>
      <c r="AX219" s="64">
        <v>0</v>
      </c>
      <c r="AY219" s="64">
        <v>0</v>
      </c>
      <c r="AZ219" s="64">
        <v>0</v>
      </c>
      <c r="BA219" s="64">
        <v>0</v>
      </c>
      <c r="BB219" s="64">
        <v>0</v>
      </c>
      <c r="BC219" s="64"/>
      <c r="BD219" s="64"/>
      <c r="BE219" s="64">
        <v>0</v>
      </c>
      <c r="BF219" s="64">
        <v>0</v>
      </c>
      <c r="BG219" s="64">
        <v>15999283.927235499</v>
      </c>
      <c r="BH219" s="64">
        <v>0</v>
      </c>
      <c r="BI219" s="64">
        <v>0</v>
      </c>
      <c r="BJ219" s="64"/>
      <c r="BK219" s="65"/>
      <c r="BL219" s="66">
        <v>349871.93546172051</v>
      </c>
    </row>
    <row r="220" spans="1:64" x14ac:dyDescent="0.25">
      <c r="A220" s="141">
        <f t="shared" si="71"/>
        <v>202</v>
      </c>
      <c r="B220" s="142">
        <f t="shared" si="72"/>
        <v>14</v>
      </c>
      <c r="C220" s="62" t="s">
        <v>82</v>
      </c>
      <c r="D220" s="62" t="s">
        <v>999</v>
      </c>
      <c r="E220" s="123">
        <v>1988</v>
      </c>
      <c r="F220" s="123">
        <v>2016</v>
      </c>
      <c r="G220" s="123" t="s">
        <v>43</v>
      </c>
      <c r="H220" s="123">
        <v>5</v>
      </c>
      <c r="I220" s="123">
        <v>2</v>
      </c>
      <c r="J220" s="64">
        <v>4465.5</v>
      </c>
      <c r="K220" s="64">
        <v>2945.85</v>
      </c>
      <c r="L220" s="64">
        <v>451.6</v>
      </c>
      <c r="M220" s="124">
        <v>169</v>
      </c>
      <c r="N220" s="63">
        <f>SUM(O220:T220)</f>
        <v>16075963.844649071</v>
      </c>
      <c r="O220" s="64"/>
      <c r="P220" s="65"/>
      <c r="Q220" s="65"/>
      <c r="R220" s="65">
        <f t="shared" si="85"/>
        <v>466762.13499999989</v>
      </c>
      <c r="S220" s="65">
        <f>+AS220</f>
        <v>10699675.590000002</v>
      </c>
      <c r="T220" s="65">
        <f>+'Приложение №2'!E229-'Приложение №1'!P220-'Приложение №1'!Q220-'Приложение №1'!R220-'Приложение №1'!S220</f>
        <v>4909526.1196490694</v>
      </c>
      <c r="U220" s="65">
        <f t="shared" si="86"/>
        <v>5457.1562858424804</v>
      </c>
      <c r="V220" s="65">
        <v>1193.2830200640001</v>
      </c>
      <c r="W220" s="126">
        <v>2023</v>
      </c>
      <c r="X220" s="127" t="e">
        <f>+#REF!-'[1]Приложение №1'!$P1285</f>
        <v>#REF!</v>
      </c>
      <c r="Z220" s="63">
        <f t="shared" si="87"/>
        <v>40635058.08237657</v>
      </c>
      <c r="AA220" s="64">
        <v>7511049.4806612218</v>
      </c>
      <c r="AB220" s="64">
        <v>3214895.5638655713</v>
      </c>
      <c r="AC220" s="64">
        <v>0</v>
      </c>
      <c r="AD220" s="64">
        <v>3031175.8989669341</v>
      </c>
      <c r="AE220" s="64">
        <v>0</v>
      </c>
      <c r="AF220" s="64"/>
      <c r="AG220" s="64">
        <v>311848.52041429107</v>
      </c>
      <c r="AH220" s="64">
        <v>0</v>
      </c>
      <c r="AI220" s="64">
        <v>0</v>
      </c>
      <c r="AJ220" s="64">
        <v>5678337.1610445483</v>
      </c>
      <c r="AK220" s="64">
        <v>15731938.21837358</v>
      </c>
      <c r="AL220" s="64">
        <v>0</v>
      </c>
      <c r="AM220" s="64">
        <v>3973603.431119387</v>
      </c>
      <c r="AN220" s="65">
        <v>406350.58082376578</v>
      </c>
      <c r="AO220" s="66">
        <v>775859.22710727528</v>
      </c>
      <c r="AP220" s="128">
        <f>+N220-'Приложение №2'!E229</f>
        <v>0</v>
      </c>
      <c r="AQ220" s="127">
        <f>2191563.13-R32</f>
        <v>54528.879999999888</v>
      </c>
      <c r="AR220" s="25">
        <f>+(K220*10.5+L220*21)*12*0.85</f>
        <v>412233.255</v>
      </c>
      <c r="AS220" s="25">
        <f>+(K220*10.5+L220*21)*12*30-S32</f>
        <v>10699675.590000002</v>
      </c>
      <c r="AT220" s="127">
        <f t="shared" si="88"/>
        <v>0</v>
      </c>
      <c r="AU220" s="127">
        <f>+P220-'[6]Приложение №1'!$P479</f>
        <v>-3571794.2067385912</v>
      </c>
      <c r="AV220" s="127">
        <f>+Q220-'[6]Приложение №1'!$Q479</f>
        <v>0</v>
      </c>
      <c r="AW220" s="88">
        <f t="shared" si="76"/>
        <v>16075963.844649071</v>
      </c>
      <c r="AX220" s="64"/>
      <c r="AY220" s="64"/>
      <c r="AZ220" s="64">
        <v>0</v>
      </c>
      <c r="BA220" s="64"/>
      <c r="BB220" s="64">
        <v>0</v>
      </c>
      <c r="BC220" s="64"/>
      <c r="BD220" s="64"/>
      <c r="BE220" s="64">
        <v>0</v>
      </c>
      <c r="BF220" s="64">
        <v>0</v>
      </c>
      <c r="BG220" s="64"/>
      <c r="BH220" s="64">
        <v>15731938.21837358</v>
      </c>
      <c r="BI220" s="64">
        <v>0</v>
      </c>
      <c r="BJ220" s="64"/>
      <c r="BK220" s="65"/>
      <c r="BL220" s="66">
        <v>344025.62627549015</v>
      </c>
    </row>
    <row r="221" spans="1:64" x14ac:dyDescent="0.25">
      <c r="A221" s="141">
        <f t="shared" si="71"/>
        <v>203</v>
      </c>
      <c r="B221" s="142">
        <f t="shared" si="72"/>
        <v>15</v>
      </c>
      <c r="C221" s="62" t="s">
        <v>82</v>
      </c>
      <c r="D221" s="62" t="s">
        <v>1064</v>
      </c>
      <c r="E221" s="123">
        <v>1987</v>
      </c>
      <c r="F221" s="123">
        <v>2016</v>
      </c>
      <c r="G221" s="123" t="s">
        <v>43</v>
      </c>
      <c r="H221" s="123">
        <v>5</v>
      </c>
      <c r="I221" s="123">
        <v>2</v>
      </c>
      <c r="J221" s="64">
        <v>4414.46</v>
      </c>
      <c r="K221" s="64">
        <v>3063.3</v>
      </c>
      <c r="L221" s="64">
        <v>691.2</v>
      </c>
      <c r="M221" s="124">
        <v>189</v>
      </c>
      <c r="N221" s="63">
        <f>SUM(O221:T221)</f>
        <v>4281809.6559070544</v>
      </c>
      <c r="O221" s="64"/>
      <c r="P221" s="65"/>
      <c r="Q221" s="65"/>
      <c r="R221" s="65">
        <f t="shared" si="85"/>
        <v>1857708.7200000002</v>
      </c>
      <c r="S221" s="65">
        <f>+'Приложение №2'!E230-'Приложение №1'!R221</f>
        <v>2424100.9359070542</v>
      </c>
      <c r="T221" s="65"/>
      <c r="U221" s="65">
        <f t="shared" si="86"/>
        <v>1397.7767949293423</v>
      </c>
      <c r="V221" s="65">
        <v>1194.2830200640001</v>
      </c>
      <c r="W221" s="126">
        <v>2023</v>
      </c>
      <c r="X221" s="127" t="e">
        <f>+#REF!-'[1]Приложение №1'!$P928</f>
        <v>#REF!</v>
      </c>
      <c r="Z221" s="63">
        <f t="shared" si="87"/>
        <v>26328386.425327532</v>
      </c>
      <c r="AA221" s="64">
        <v>7372697.9505887339</v>
      </c>
      <c r="AB221" s="64">
        <v>0</v>
      </c>
      <c r="AC221" s="64">
        <v>0</v>
      </c>
      <c r="AD221" s="64">
        <v>0</v>
      </c>
      <c r="AE221" s="64">
        <v>0</v>
      </c>
      <c r="AF221" s="64"/>
      <c r="AG221" s="64">
        <v>306104.35376204841</v>
      </c>
      <c r="AH221" s="64">
        <v>0</v>
      </c>
      <c r="AI221" s="64">
        <v>0</v>
      </c>
      <c r="AJ221" s="64">
        <v>0</v>
      </c>
      <c r="AK221" s="64">
        <v>15442160.108254375</v>
      </c>
      <c r="AL221" s="64">
        <v>0</v>
      </c>
      <c r="AM221" s="64">
        <v>2438531.5283692107</v>
      </c>
      <c r="AN221" s="65">
        <v>263283.86425327533</v>
      </c>
      <c r="AO221" s="66">
        <v>505608.62009988801</v>
      </c>
      <c r="AP221" s="128">
        <f>+N221-'Приложение №2'!E230</f>
        <v>0</v>
      </c>
      <c r="AQ221" s="23">
        <f>2719968.2-1338393.95</f>
        <v>1381574.2500000002</v>
      </c>
      <c r="AR221" s="25">
        <f>+(K221*10.5+L221*21)*12*0.85</f>
        <v>476134.47000000003</v>
      </c>
      <c r="AS221" s="25">
        <f>+(K221*10.5+L221*21)*12*30-994515.5</f>
        <v>15810230.500000004</v>
      </c>
      <c r="AT221" s="127">
        <f t="shared" si="88"/>
        <v>-13386129.564092949</v>
      </c>
      <c r="AU221" s="127">
        <f>+P221-'[6]Приложение №1'!$P480</f>
        <v>0</v>
      </c>
      <c r="AV221" s="127">
        <f>+Q221-'[6]Приложение №1'!$Q480</f>
        <v>0</v>
      </c>
      <c r="AW221" s="88">
        <f t="shared" si="76"/>
        <v>4281809.6559070544</v>
      </c>
      <c r="AX221" s="64"/>
      <c r="AY221" s="64">
        <v>0</v>
      </c>
      <c r="AZ221" s="64">
        <v>0</v>
      </c>
      <c r="BA221" s="64">
        <v>0</v>
      </c>
      <c r="BB221" s="64">
        <v>0</v>
      </c>
      <c r="BC221" s="64"/>
      <c r="BD221" s="64"/>
      <c r="BE221" s="64">
        <v>0</v>
      </c>
      <c r="BF221" s="64">
        <v>0</v>
      </c>
      <c r="BG221" s="64">
        <v>0</v>
      </c>
      <c r="BH221" s="64">
        <v>3944120.89</v>
      </c>
      <c r="BI221" s="64">
        <v>0</v>
      </c>
      <c r="BJ221" s="64"/>
      <c r="BK221" s="65"/>
      <c r="BL221" s="66">
        <v>337688.76590705459</v>
      </c>
    </row>
    <row r="222" spans="1:64" x14ac:dyDescent="0.25">
      <c r="A222" s="141">
        <f t="shared" si="71"/>
        <v>204</v>
      </c>
      <c r="B222" s="142">
        <f t="shared" si="72"/>
        <v>16</v>
      </c>
      <c r="C222" s="62" t="s">
        <v>82</v>
      </c>
      <c r="D222" s="62" t="s">
        <v>1065</v>
      </c>
      <c r="E222" s="123">
        <v>1988</v>
      </c>
      <c r="F222" s="123">
        <v>2016</v>
      </c>
      <c r="G222" s="123" t="s">
        <v>43</v>
      </c>
      <c r="H222" s="123">
        <v>5</v>
      </c>
      <c r="I222" s="123">
        <v>2</v>
      </c>
      <c r="J222" s="64">
        <v>4366.2</v>
      </c>
      <c r="K222" s="64">
        <v>3056.1</v>
      </c>
      <c r="L222" s="64">
        <v>725.4</v>
      </c>
      <c r="M222" s="124">
        <v>194</v>
      </c>
      <c r="N222" s="63">
        <f>SUM(O222:T222)</f>
        <v>15863907.86463787</v>
      </c>
      <c r="O222" s="64"/>
      <c r="P222" s="65"/>
      <c r="Q222" s="65"/>
      <c r="R222" s="65">
        <f t="shared" si="85"/>
        <v>2978240.26</v>
      </c>
      <c r="S222" s="65">
        <f>+'Приложение №2'!E231-'Приложение №1'!R222</f>
        <v>12885667.604637871</v>
      </c>
      <c r="T222" s="65">
        <v>4.6566128730773926E-10</v>
      </c>
      <c r="U222" s="65">
        <f t="shared" si="86"/>
        <v>5190.899468158068</v>
      </c>
      <c r="V222" s="65">
        <v>1195.2830200640001</v>
      </c>
      <c r="W222" s="126">
        <v>2023</v>
      </c>
      <c r="X222" s="127" t="e">
        <f>+#REF!-'[1]Приложение №1'!$P929</f>
        <v>#REF!</v>
      </c>
      <c r="Z222" s="63">
        <f t="shared" si="87"/>
        <v>32902312.260541573</v>
      </c>
      <c r="AA222" s="64">
        <v>7411972.189002322</v>
      </c>
      <c r="AB222" s="64">
        <v>0</v>
      </c>
      <c r="AC222" s="64">
        <v>0</v>
      </c>
      <c r="AD222" s="64">
        <v>0</v>
      </c>
      <c r="AE222" s="64">
        <v>0</v>
      </c>
      <c r="AF222" s="64"/>
      <c r="AG222" s="64">
        <v>307734.96652411442</v>
      </c>
      <c r="AH222" s="64">
        <v>0</v>
      </c>
      <c r="AI222" s="64">
        <v>0</v>
      </c>
      <c r="AJ222" s="64">
        <v>5603434.9428537479</v>
      </c>
      <c r="AK222" s="64">
        <v>15524420.23633462</v>
      </c>
      <c r="AL222" s="64">
        <v>0</v>
      </c>
      <c r="AM222" s="64">
        <v>3094889.0411501252</v>
      </c>
      <c r="AN222" s="65">
        <v>329023.12260541564</v>
      </c>
      <c r="AO222" s="66">
        <v>630837.7620712209</v>
      </c>
      <c r="AP222" s="128">
        <f>+N222-'Приложение №2'!E231</f>
        <v>0</v>
      </c>
      <c r="AQ222" s="38">
        <v>2495551.27</v>
      </c>
      <c r="AR222" s="25">
        <f>+(K222*10.5+L222*21)*12*0.85</f>
        <v>482688.98999999993</v>
      </c>
      <c r="AS222" s="25">
        <f>+(K222*10.5+L222*21)*12*30</f>
        <v>17036081.999999996</v>
      </c>
      <c r="AT222" s="127">
        <f t="shared" si="88"/>
        <v>-4150414.3953621257</v>
      </c>
      <c r="AU222" s="127">
        <f>+P222-'[6]Приложение №1'!$P481</f>
        <v>0</v>
      </c>
      <c r="AV222" s="127">
        <f>+Q222-'[6]Приложение №1'!$Q481</f>
        <v>0</v>
      </c>
      <c r="AW222" s="88">
        <f t="shared" si="76"/>
        <v>15863907.86463787</v>
      </c>
      <c r="AX222" s="64"/>
      <c r="AY222" s="64">
        <v>0</v>
      </c>
      <c r="AZ222" s="64">
        <v>0</v>
      </c>
      <c r="BA222" s="64">
        <v>0</v>
      </c>
      <c r="BB222" s="64">
        <v>0</v>
      </c>
      <c r="BC222" s="64"/>
      <c r="BD222" s="64"/>
      <c r="BE222" s="64"/>
      <c r="BF222" s="64"/>
      <c r="BG222" s="64"/>
      <c r="BH222" s="64">
        <v>15524420.23633462</v>
      </c>
      <c r="BI222" s="64">
        <v>0</v>
      </c>
      <c r="BJ222" s="64"/>
      <c r="BK222" s="65"/>
      <c r="BL222" s="66">
        <v>339487.62830325047</v>
      </c>
    </row>
    <row r="223" spans="1:64" x14ac:dyDescent="0.25">
      <c r="A223" s="141">
        <f t="shared" si="71"/>
        <v>205</v>
      </c>
      <c r="B223" s="142">
        <f t="shared" si="72"/>
        <v>17</v>
      </c>
      <c r="C223" s="62" t="s">
        <v>82</v>
      </c>
      <c r="D223" s="62" t="s">
        <v>1066</v>
      </c>
      <c r="E223" s="123">
        <v>1987</v>
      </c>
      <c r="F223" s="123">
        <v>2017</v>
      </c>
      <c r="G223" s="123" t="s">
        <v>43</v>
      </c>
      <c r="H223" s="123">
        <v>9</v>
      </c>
      <c r="I223" s="123">
        <v>5</v>
      </c>
      <c r="J223" s="64">
        <v>12266.2</v>
      </c>
      <c r="K223" s="64">
        <v>9496.7999999999993</v>
      </c>
      <c r="L223" s="64">
        <v>175.7</v>
      </c>
      <c r="M223" s="124">
        <v>406</v>
      </c>
      <c r="N223" s="63">
        <f>SUM(O223:T223)</f>
        <v>24639934.329513032</v>
      </c>
      <c r="O223" s="64"/>
      <c r="P223" s="65"/>
      <c r="Q223" s="65"/>
      <c r="R223" s="65">
        <f t="shared" si="85"/>
        <v>8504844.943</v>
      </c>
      <c r="S223" s="65">
        <f>+'Приложение №2'!E232-'Приложение №1'!R223</f>
        <v>16135089.386513032</v>
      </c>
      <c r="T223" s="65">
        <v>0</v>
      </c>
      <c r="U223" s="65">
        <f t="shared" si="86"/>
        <v>2594.5512519493968</v>
      </c>
      <c r="V223" s="65">
        <v>1199.2830200640001</v>
      </c>
      <c r="W223" s="126">
        <v>2023</v>
      </c>
      <c r="X223" s="127" t="e">
        <f>+#REF!-'[1]Приложение №1'!$P568</f>
        <v>#REF!</v>
      </c>
      <c r="Z223" s="63">
        <f t="shared" si="87"/>
        <v>34827835.576784134</v>
      </c>
      <c r="AA223" s="64">
        <v>23086920.098178856</v>
      </c>
      <c r="AB223" s="64">
        <v>0</v>
      </c>
      <c r="AC223" s="64">
        <v>6822406.5515479343</v>
      </c>
      <c r="AD223" s="64">
        <v>0</v>
      </c>
      <c r="AE223" s="64">
        <v>0</v>
      </c>
      <c r="AF223" s="64"/>
      <c r="AG223" s="64">
        <v>1025719.6366825957</v>
      </c>
      <c r="AH223" s="64">
        <v>0</v>
      </c>
      <c r="AI223" s="64">
        <v>0</v>
      </c>
      <c r="AJ223" s="64">
        <v>0</v>
      </c>
      <c r="AK223" s="64">
        <v>0</v>
      </c>
      <c r="AL223" s="64">
        <v>0</v>
      </c>
      <c r="AM223" s="64">
        <v>2868024.1263817325</v>
      </c>
      <c r="AN223" s="65">
        <v>348278.35576784139</v>
      </c>
      <c r="AO223" s="66">
        <v>676486.80822517979</v>
      </c>
      <c r="AP223" s="128">
        <f>+N223-'Приложение №2'!E232</f>
        <v>0</v>
      </c>
      <c r="AQ223" s="23">
        <v>7111161.1600000001</v>
      </c>
      <c r="AR223" s="25">
        <f>+(K223*13.95+L223*23.65)*12*0.85</f>
        <v>1393683.7829999998</v>
      </c>
      <c r="AS223" s="25">
        <f>+(K223*13.95+L223*23.65)*12*30</f>
        <v>49188839.399999991</v>
      </c>
      <c r="AT223" s="127">
        <f t="shared" si="88"/>
        <v>-33053750.013486959</v>
      </c>
      <c r="AU223" s="127">
        <f>+P223-'[6]Приложение №1'!$P485</f>
        <v>0</v>
      </c>
      <c r="AV223" s="127">
        <f>+Q223-'[6]Приложение №1'!$Q485</f>
        <v>0</v>
      </c>
      <c r="AW223" s="88">
        <f t="shared" si="76"/>
        <v>24639934.329513032</v>
      </c>
      <c r="AX223" s="64">
        <v>23086920.098178856</v>
      </c>
      <c r="AY223" s="64">
        <v>0</v>
      </c>
      <c r="AZ223" s="64"/>
      <c r="BA223" s="64">
        <v>0</v>
      </c>
      <c r="BB223" s="64">
        <v>0</v>
      </c>
      <c r="BC223" s="64"/>
      <c r="BD223" s="64">
        <v>1025719.6366825957</v>
      </c>
      <c r="BE223" s="64">
        <v>0</v>
      </c>
      <c r="BF223" s="64">
        <v>0</v>
      </c>
      <c r="BG223" s="64">
        <v>0</v>
      </c>
      <c r="BH223" s="64">
        <v>0</v>
      </c>
      <c r="BI223" s="64">
        <v>0</v>
      </c>
      <c r="BJ223" s="64"/>
      <c r="BK223" s="65"/>
      <c r="BL223" s="66">
        <v>527294.59465157881</v>
      </c>
    </row>
    <row r="224" spans="1:64" x14ac:dyDescent="0.25">
      <c r="A224" s="141">
        <f t="shared" si="71"/>
        <v>206</v>
      </c>
      <c r="B224" s="142">
        <f t="shared" si="72"/>
        <v>18</v>
      </c>
      <c r="C224" s="62" t="s">
        <v>82</v>
      </c>
      <c r="D224" s="62" t="s">
        <v>654</v>
      </c>
      <c r="E224" s="123">
        <v>1997</v>
      </c>
      <c r="F224" s="123">
        <v>1997</v>
      </c>
      <c r="G224" s="123" t="s">
        <v>43</v>
      </c>
      <c r="H224" s="123">
        <v>9</v>
      </c>
      <c r="I224" s="123">
        <v>1</v>
      </c>
      <c r="J224" s="64">
        <v>2892.9</v>
      </c>
      <c r="K224" s="64">
        <v>2475.6999999999998</v>
      </c>
      <c r="L224" s="64">
        <v>0</v>
      </c>
      <c r="M224" s="124">
        <v>81</v>
      </c>
      <c r="N224" s="63">
        <f>SUM(O224:T224)</f>
        <v>13615505.81675427</v>
      </c>
      <c r="O224" s="64"/>
      <c r="P224" s="65">
        <v>0</v>
      </c>
      <c r="Q224" s="65"/>
      <c r="R224" s="65">
        <f t="shared" si="85"/>
        <v>2270366.7429999998</v>
      </c>
      <c r="S224" s="65">
        <f>+'Приложение №2'!E233-'Приложение №1'!R224</f>
        <v>11345139.07375427</v>
      </c>
      <c r="T224" s="65">
        <f>+'Приложение №2'!E233-'Приложение №1'!P224-'Приложение №1'!Q224-'Приложение №1'!R224-'Приложение №1'!S224</f>
        <v>0</v>
      </c>
      <c r="U224" s="65">
        <f t="shared" si="86"/>
        <v>5499.6590123012766</v>
      </c>
      <c r="V224" s="65">
        <v>1200.2830200640001</v>
      </c>
      <c r="W224" s="126">
        <v>2023</v>
      </c>
      <c r="X224" s="127" t="e">
        <f>+#REF!-'[1]Приложение №1'!$P1334</f>
        <v>#REF!</v>
      </c>
      <c r="Z224" s="63">
        <f t="shared" si="87"/>
        <v>15958327.596498143</v>
      </c>
      <c r="AA224" s="64">
        <v>5934192.4713683669</v>
      </c>
      <c r="AB224" s="64">
        <v>2374242.9576923214</v>
      </c>
      <c r="AC224" s="64">
        <v>1753610.8507606245</v>
      </c>
      <c r="AD224" s="64">
        <v>1120637.726412365</v>
      </c>
      <c r="AE224" s="64">
        <v>0</v>
      </c>
      <c r="AF224" s="64"/>
      <c r="AG224" s="64">
        <v>263647.88892809901</v>
      </c>
      <c r="AH224" s="64">
        <v>0</v>
      </c>
      <c r="AI224" s="64">
        <v>2597035.6702842941</v>
      </c>
      <c r="AJ224" s="64">
        <v>0</v>
      </c>
      <c r="AK224" s="64">
        <v>0</v>
      </c>
      <c r="AL224" s="64">
        <v>0</v>
      </c>
      <c r="AM224" s="64">
        <v>1448276.7490575134</v>
      </c>
      <c r="AN224" s="65">
        <v>159583.27596498144</v>
      </c>
      <c r="AO224" s="66">
        <v>307100.00602957892</v>
      </c>
      <c r="AP224" s="128">
        <f>+N224-'Приложение №2'!E233</f>
        <v>0</v>
      </c>
      <c r="AQ224" s="38">
        <v>1918099.39</v>
      </c>
      <c r="AR224" s="25">
        <f>+(K224*13.95+L224*23.65)*12*0.85</f>
        <v>352267.35299999994</v>
      </c>
      <c r="AS224" s="25">
        <f>+(K224*13.95+L224*23.65)*12*30</f>
        <v>12432965.399999999</v>
      </c>
      <c r="AT224" s="127">
        <f t="shared" si="88"/>
        <v>-1087826.3262457289</v>
      </c>
      <c r="AU224" s="127">
        <f>+P224-'[6]Приложение №1'!$P486</f>
        <v>0</v>
      </c>
      <c r="AV224" s="127">
        <f>+Q224-'[6]Приложение №1'!$Q486</f>
        <v>0</v>
      </c>
      <c r="AW224" s="88">
        <f t="shared" si="76"/>
        <v>13615505.81675427</v>
      </c>
      <c r="AX224" s="64">
        <v>6434490.0569673264</v>
      </c>
      <c r="AY224" s="64">
        <v>2579400.6477582264</v>
      </c>
      <c r="AZ224" s="64"/>
      <c r="BA224" s="64">
        <v>1228279.0768493079</v>
      </c>
      <c r="BB224" s="64">
        <v>0</v>
      </c>
      <c r="BC224" s="64"/>
      <c r="BD224" s="64">
        <v>263647.88892809901</v>
      </c>
      <c r="BE224" s="64">
        <v>0</v>
      </c>
      <c r="BF224" s="64">
        <v>2818316.3217727714</v>
      </c>
      <c r="BG224" s="64">
        <v>0</v>
      </c>
      <c r="BH224" s="64">
        <v>0</v>
      </c>
      <c r="BI224" s="64">
        <v>0</v>
      </c>
      <c r="BJ224" s="64"/>
      <c r="BK224" s="65"/>
      <c r="BL224" s="66">
        <v>291371.82447854138</v>
      </c>
    </row>
    <row r="225" spans="1:64" x14ac:dyDescent="0.25">
      <c r="A225" s="141">
        <f t="shared" si="71"/>
        <v>207</v>
      </c>
      <c r="B225" s="142">
        <f t="shared" si="72"/>
        <v>19</v>
      </c>
      <c r="C225" s="62" t="s">
        <v>82</v>
      </c>
      <c r="D225" s="62" t="s">
        <v>631</v>
      </c>
      <c r="E225" s="123">
        <v>1981</v>
      </c>
      <c r="F225" s="123">
        <v>2016</v>
      </c>
      <c r="G225" s="123" t="s">
        <v>43</v>
      </c>
      <c r="H225" s="123">
        <v>4</v>
      </c>
      <c r="I225" s="123">
        <v>3</v>
      </c>
      <c r="J225" s="64">
        <v>3910.2</v>
      </c>
      <c r="K225" s="64">
        <v>2017.9</v>
      </c>
      <c r="L225" s="64">
        <v>997.9</v>
      </c>
      <c r="M225" s="124">
        <v>113</v>
      </c>
      <c r="N225" s="95">
        <f t="shared" si="73"/>
        <v>4356885.5964561403</v>
      </c>
      <c r="O225" s="64"/>
      <c r="P225" s="65"/>
      <c r="Q225" s="65"/>
      <c r="R225" s="65">
        <f>+AQ225+AR225-557135.78</f>
        <v>806677.09999999986</v>
      </c>
      <c r="S225" s="65">
        <f>+'Приложение №2'!E234-'Приложение №1'!R225</f>
        <v>3550208.4964561407</v>
      </c>
      <c r="T225" s="65"/>
      <c r="U225" s="64">
        <f t="shared" ref="U225:V244" si="89">$N225/($K225+$L225)</f>
        <v>1444.6865164984879</v>
      </c>
      <c r="V225" s="64">
        <f t="shared" si="89"/>
        <v>1444.6865164984879</v>
      </c>
      <c r="W225" s="126">
        <v>2023</v>
      </c>
      <c r="X225" s="127" t="e">
        <f>+#REF!-'[1]Приложение №1'!$P1501</f>
        <v>#REF!</v>
      </c>
      <c r="Z225" s="63">
        <f t="shared" ref="Z225:Z244" si="90">SUM(AA225:AO225)</f>
        <v>33549604.466355495</v>
      </c>
      <c r="AA225" s="64">
        <v>9163753.0558547936</v>
      </c>
      <c r="AB225" s="64">
        <v>4716823.2</v>
      </c>
      <c r="AC225" s="64">
        <v>2695930.7316036122</v>
      </c>
      <c r="AD225" s="64">
        <v>0</v>
      </c>
      <c r="AE225" s="64">
        <v>0</v>
      </c>
      <c r="AF225" s="64"/>
      <c r="AG225" s="64">
        <v>295975.88879684091</v>
      </c>
      <c r="AH225" s="64">
        <v>0</v>
      </c>
      <c r="AI225" s="64">
        <v>13238455.132672109</v>
      </c>
      <c r="AJ225" s="64">
        <v>0</v>
      </c>
      <c r="AK225" s="64">
        <v>0</v>
      </c>
      <c r="AL225" s="64">
        <v>0</v>
      </c>
      <c r="AM225" s="64">
        <v>2552926.0485136751</v>
      </c>
      <c r="AN225" s="65">
        <v>295470.26754077495</v>
      </c>
      <c r="AO225" s="66">
        <v>590270.14137369313</v>
      </c>
      <c r="AP225" s="128">
        <f>+N225-'Приложение №2'!E234</f>
        <v>0</v>
      </c>
      <c r="AQ225" s="23">
        <v>954415.48</v>
      </c>
      <c r="AR225" s="25">
        <f>+(K225*10+L225*20)*12*0.85</f>
        <v>409397.39999999997</v>
      </c>
      <c r="AS225" s="25">
        <f>+(K225*10+L225*20)*12*30</f>
        <v>14449320</v>
      </c>
      <c r="AT225" s="127">
        <f t="shared" si="67"/>
        <v>-10899111.503543859</v>
      </c>
      <c r="AU225" s="127">
        <f>+P225-'[6]Приложение №1'!$P231</f>
        <v>0</v>
      </c>
      <c r="AV225" s="127">
        <f>+Q225-'[6]Приложение №1'!$Q231</f>
        <v>0</v>
      </c>
      <c r="AW225" s="63">
        <f t="shared" si="76"/>
        <v>4356885.5964561403</v>
      </c>
      <c r="AX225" s="64">
        <v>3825570</v>
      </c>
      <c r="AY225" s="64"/>
      <c r="AZ225" s="64"/>
      <c r="BA225" s="64">
        <v>0</v>
      </c>
      <c r="BB225" s="64">
        <v>0</v>
      </c>
      <c r="BC225" s="64"/>
      <c r="BD225" s="64"/>
      <c r="BE225" s="64"/>
      <c r="BF225" s="64"/>
      <c r="BG225" s="64">
        <v>0</v>
      </c>
      <c r="BH225" s="64">
        <v>0</v>
      </c>
      <c r="BI225" s="64">
        <v>0</v>
      </c>
      <c r="BJ225" s="64"/>
      <c r="BK225" s="65"/>
      <c r="BL225" s="66">
        <v>531315.59645614028</v>
      </c>
    </row>
    <row r="226" spans="1:64" x14ac:dyDescent="0.25">
      <c r="A226" s="141">
        <f t="shared" si="71"/>
        <v>208</v>
      </c>
      <c r="B226" s="142">
        <f t="shared" si="72"/>
        <v>20</v>
      </c>
      <c r="C226" s="62" t="s">
        <v>82</v>
      </c>
      <c r="D226" s="62" t="s">
        <v>1002</v>
      </c>
      <c r="E226" s="123">
        <v>1990</v>
      </c>
      <c r="F226" s="123">
        <v>2017</v>
      </c>
      <c r="G226" s="123" t="s">
        <v>43</v>
      </c>
      <c r="H226" s="123">
        <v>9</v>
      </c>
      <c r="I226" s="123">
        <v>1</v>
      </c>
      <c r="J226" s="64">
        <v>4527.8</v>
      </c>
      <c r="K226" s="64">
        <v>3876.4</v>
      </c>
      <c r="L226" s="64">
        <v>0</v>
      </c>
      <c r="M226" s="124">
        <v>153</v>
      </c>
      <c r="N226" s="63">
        <f t="shared" si="73"/>
        <v>1476035.4285397425</v>
      </c>
      <c r="O226" s="64"/>
      <c r="P226" s="65"/>
      <c r="Q226" s="65"/>
      <c r="R226" s="65"/>
      <c r="S226" s="65">
        <f>+'Приложение №2'!E235-'Приложение №1'!R226-P226</f>
        <v>1476035.4285397425</v>
      </c>
      <c r="T226" s="64">
        <f>+'Приложение №2'!E235-'Приложение №1'!P226-'Приложение №1'!Q226-'Приложение №1'!R226-'Приложение №1'!S226</f>
        <v>0</v>
      </c>
      <c r="U226" s="65">
        <f t="shared" si="89"/>
        <v>380.77479840567082</v>
      </c>
      <c r="V226" s="65">
        <f t="shared" si="89"/>
        <v>380.77479840567082</v>
      </c>
      <c r="W226" s="126">
        <v>2023</v>
      </c>
      <c r="X226" s="127" t="e">
        <f>+#REF!-'[1]Приложение №1'!$P1147</f>
        <v>#REF!</v>
      </c>
      <c r="Z226" s="63">
        <f t="shared" ref="Z226" si="91">SUM(AA226:AO226)</f>
        <v>27786937.969636556</v>
      </c>
      <c r="AA226" s="64">
        <v>9291270.4654677343</v>
      </c>
      <c r="AB226" s="64">
        <v>3717394.3341215332</v>
      </c>
      <c r="AC226" s="64">
        <v>2745659.6300522191</v>
      </c>
      <c r="AD226" s="64">
        <v>1754602.3759999776</v>
      </c>
      <c r="AE226" s="64">
        <v>0</v>
      </c>
      <c r="AF226" s="64"/>
      <c r="AG226" s="64">
        <v>412798.17860638152</v>
      </c>
      <c r="AH226" s="64">
        <v>0</v>
      </c>
      <c r="AI226" s="64">
        <v>0</v>
      </c>
      <c r="AJ226" s="64">
        <v>6460326.5118356757</v>
      </c>
      <c r="AK226" s="64">
        <v>0</v>
      </c>
      <c r="AL226" s="64">
        <v>0</v>
      </c>
      <c r="AM226" s="64">
        <v>2593831.0096382117</v>
      </c>
      <c r="AN226" s="65">
        <v>277869.37969636562</v>
      </c>
      <c r="AO226" s="66">
        <v>533186.08421846246</v>
      </c>
      <c r="AP226" s="128">
        <f>+N226-'Приложение №2'!E235</f>
        <v>0</v>
      </c>
      <c r="AQ226" s="127">
        <f>2413836.61-R37</f>
        <v>953855.35578153655</v>
      </c>
      <c r="AR226" s="25">
        <f t="shared" ref="AR226:AR231" si="92">+(K226*13.29+L226*22.52)*12*0.85</f>
        <v>525477.03119999997</v>
      </c>
      <c r="AS226" s="25">
        <f>+(K226*13.29+L226*22.52)*12*30-S37</f>
        <v>14820037.98</v>
      </c>
      <c r="AT226" s="127">
        <f t="shared" si="67"/>
        <v>-13344002.551460259</v>
      </c>
      <c r="AW226" s="63">
        <f t="shared" si="76"/>
        <v>1476035.4285397425</v>
      </c>
      <c r="AX226" s="64"/>
      <c r="AY226" s="64"/>
      <c r="AZ226" s="64">
        <v>942849.34432128002</v>
      </c>
      <c r="BA226" s="64"/>
      <c r="BB226" s="64">
        <v>0</v>
      </c>
      <c r="BC226" s="64"/>
      <c r="BD226" s="64"/>
      <c r="BE226" s="64">
        <v>0</v>
      </c>
      <c r="BF226" s="64">
        <v>0</v>
      </c>
      <c r="BG226" s="64"/>
      <c r="BH226" s="64">
        <v>0</v>
      </c>
      <c r="BI226" s="64">
        <v>0</v>
      </c>
      <c r="BJ226" s="64"/>
      <c r="BK226" s="65"/>
      <c r="BL226" s="66">
        <v>533186.08421846246</v>
      </c>
    </row>
    <row r="227" spans="1:64" x14ac:dyDescent="0.25">
      <c r="A227" s="141">
        <f t="shared" si="71"/>
        <v>209</v>
      </c>
      <c r="B227" s="142">
        <f t="shared" si="72"/>
        <v>21</v>
      </c>
      <c r="C227" s="62" t="s">
        <v>82</v>
      </c>
      <c r="D227" s="62" t="s">
        <v>1067</v>
      </c>
      <c r="E227" s="123">
        <v>1990</v>
      </c>
      <c r="F227" s="123">
        <v>2017</v>
      </c>
      <c r="G227" s="123" t="s">
        <v>43</v>
      </c>
      <c r="H227" s="123">
        <v>9</v>
      </c>
      <c r="I227" s="123">
        <v>1</v>
      </c>
      <c r="J227" s="64">
        <v>3216.7</v>
      </c>
      <c r="K227" s="64">
        <v>2758.3</v>
      </c>
      <c r="L227" s="64">
        <v>0</v>
      </c>
      <c r="M227" s="124">
        <v>101</v>
      </c>
      <c r="N227" s="63">
        <f t="shared" si="73"/>
        <v>2729457.7335245288</v>
      </c>
      <c r="O227" s="64"/>
      <c r="P227" s="65"/>
      <c r="Q227" s="65"/>
      <c r="R227" s="65"/>
      <c r="S227" s="65">
        <v>1555634.31</v>
      </c>
      <c r="T227" s="65">
        <f>+'Приложение №2'!E236-'Приложение №1'!P227-'Приложение №1'!Q227-'Приложение №1'!R227-'Приложение №1'!S227</f>
        <v>1173823.4235245287</v>
      </c>
      <c r="U227" s="65">
        <f>$N227/($K227+$L227)</f>
        <v>989.54346283019561</v>
      </c>
      <c r="V227" s="65">
        <f>$N227/($K227+$L227)</f>
        <v>989.54346283019561</v>
      </c>
      <c r="W227" s="126">
        <v>2023</v>
      </c>
      <c r="X227" s="127" t="e">
        <f>+#REF!-'[1]Приложение №1'!$P949</f>
        <v>#REF!</v>
      </c>
      <c r="Z227" s="63">
        <f>SUM(AA227:AO227)</f>
        <v>15264572.541393431</v>
      </c>
      <c r="AA227" s="64">
        <v>8237660.7623945801</v>
      </c>
      <c r="AB227" s="64">
        <v>3295849.9656590605</v>
      </c>
      <c r="AC227" s="64">
        <v>0</v>
      </c>
      <c r="AD227" s="64">
        <v>1555634.312885293</v>
      </c>
      <c r="AE227" s="64">
        <v>0</v>
      </c>
      <c r="AF227" s="64"/>
      <c r="AG227" s="64">
        <v>365987.77006138454</v>
      </c>
      <c r="AH227" s="64">
        <v>0</v>
      </c>
      <c r="AI227" s="64">
        <v>0</v>
      </c>
      <c r="AJ227" s="64">
        <v>0</v>
      </c>
      <c r="AK227" s="64">
        <v>0</v>
      </c>
      <c r="AL227" s="64">
        <v>0</v>
      </c>
      <c r="AM227" s="64">
        <v>1362557.5016525821</v>
      </c>
      <c r="AN227" s="65">
        <v>152645.7254139343</v>
      </c>
      <c r="AO227" s="66">
        <v>294236.50332659599</v>
      </c>
      <c r="AP227" s="128">
        <f>+N227-'Приложение №2'!E236</f>
        <v>0</v>
      </c>
      <c r="AQ227" s="23">
        <v>1661335.31</v>
      </c>
      <c r="AR227" s="25">
        <f>+(K227*13.29+L227*22.52)*12*0.85</f>
        <v>373909.63140000001</v>
      </c>
      <c r="AS227" s="25">
        <f>+(K227*13.29+L227*22.52)*12*30</f>
        <v>13196810.52</v>
      </c>
      <c r="AT227" s="127">
        <f>+S227-AS227</f>
        <v>-11641176.209999999</v>
      </c>
      <c r="AW227" s="63">
        <f t="shared" si="76"/>
        <v>2729457.7335245288</v>
      </c>
      <c r="AX227" s="64"/>
      <c r="AY227" s="64">
        <v>953472.79</v>
      </c>
      <c r="AZ227" s="64">
        <v>0</v>
      </c>
      <c r="BA227" s="64">
        <v>1703911.38</v>
      </c>
      <c r="BB227" s="64">
        <v>0</v>
      </c>
      <c r="BC227" s="64"/>
      <c r="BD227" s="64"/>
      <c r="BE227" s="64">
        <v>0</v>
      </c>
      <c r="BF227" s="64">
        <v>0</v>
      </c>
      <c r="BG227" s="64">
        <v>0</v>
      </c>
      <c r="BH227" s="64">
        <v>0</v>
      </c>
      <c r="BI227" s="64">
        <v>0</v>
      </c>
      <c r="BJ227" s="64"/>
      <c r="BK227" s="65"/>
      <c r="BL227" s="66">
        <v>72073.563524528814</v>
      </c>
    </row>
    <row r="228" spans="1:64" x14ac:dyDescent="0.25">
      <c r="A228" s="141">
        <f t="shared" si="71"/>
        <v>210</v>
      </c>
      <c r="B228" s="142">
        <f t="shared" si="72"/>
        <v>22</v>
      </c>
      <c r="C228" s="62" t="s">
        <v>82</v>
      </c>
      <c r="D228" s="62" t="s">
        <v>656</v>
      </c>
      <c r="E228" s="123">
        <v>1989</v>
      </c>
      <c r="F228" s="123">
        <v>2016</v>
      </c>
      <c r="G228" s="123" t="s">
        <v>43</v>
      </c>
      <c r="H228" s="123">
        <v>5</v>
      </c>
      <c r="I228" s="123">
        <v>4</v>
      </c>
      <c r="J228" s="64">
        <v>5827.1</v>
      </c>
      <c r="K228" s="64">
        <v>4877.5</v>
      </c>
      <c r="L228" s="64">
        <v>0</v>
      </c>
      <c r="M228" s="124">
        <v>218</v>
      </c>
      <c r="N228" s="63">
        <f t="shared" ref="N228" si="93">SUM(O228:T228)</f>
        <v>10566988.372962838</v>
      </c>
      <c r="O228" s="64"/>
      <c r="P228" s="65"/>
      <c r="Q228" s="65"/>
      <c r="R228" s="65">
        <f>+AQ228+AR228</f>
        <v>3370692.01</v>
      </c>
      <c r="S228" s="65">
        <f>+'Приложение №2'!E237-'Приложение №1'!R228</f>
        <v>7196296.3629628383</v>
      </c>
      <c r="T228" s="65">
        <v>0</v>
      </c>
      <c r="U228" s="65">
        <f t="shared" ref="U228" si="94">N228/K228</f>
        <v>2166.4763450461996</v>
      </c>
      <c r="V228" s="65">
        <v>1209.2830200640001</v>
      </c>
      <c r="W228" s="126">
        <v>2023</v>
      </c>
      <c r="X228" s="127" t="e">
        <f>+#REF!-'[1]Приложение №1'!$P290</f>
        <v>#REF!</v>
      </c>
      <c r="Z228" s="63">
        <f t="shared" si="90"/>
        <v>20671116.862985976</v>
      </c>
      <c r="AA228" s="64">
        <v>9672123.3663251549</v>
      </c>
      <c r="AB228" s="64">
        <v>4139883.059433911</v>
      </c>
      <c r="AC228" s="64">
        <v>0</v>
      </c>
      <c r="AD228" s="64">
        <v>3903303.7014767192</v>
      </c>
      <c r="AE228" s="64">
        <v>0</v>
      </c>
      <c r="AF228" s="64"/>
      <c r="AG228" s="64">
        <v>401573.35786682391</v>
      </c>
      <c r="AH228" s="64">
        <v>0</v>
      </c>
      <c r="AI228" s="64">
        <v>0</v>
      </c>
      <c r="AJ228" s="64">
        <v>0</v>
      </c>
      <c r="AK228" s="64">
        <v>0</v>
      </c>
      <c r="AL228" s="64">
        <v>0</v>
      </c>
      <c r="AM228" s="64">
        <v>1951342.6603252462</v>
      </c>
      <c r="AN228" s="65">
        <v>206711.16862985978</v>
      </c>
      <c r="AO228" s="66">
        <v>396179.54892826063</v>
      </c>
      <c r="AP228" s="128">
        <f>+N228-'Приложение №2'!E237</f>
        <v>0</v>
      </c>
      <c r="AQ228" s="38">
        <v>2848311.76</v>
      </c>
      <c r="AR228" s="25">
        <f>+(K228*10.5+L228*21)*12*0.85</f>
        <v>522380.25</v>
      </c>
      <c r="AS228" s="25">
        <f>+(K228*10.5+L228*21)*12*30</f>
        <v>18436950</v>
      </c>
      <c r="AT228" s="127">
        <f t="shared" si="67"/>
        <v>-11240653.637037162</v>
      </c>
      <c r="AU228" s="127">
        <f>+P228-'[6]Приложение №1'!$P211</f>
        <v>-5182536.9001926761</v>
      </c>
      <c r="AV228" s="127">
        <f>+Q228-'[6]Приложение №1'!$Q211</f>
        <v>0</v>
      </c>
      <c r="AW228" s="88">
        <f t="shared" si="76"/>
        <v>10566988.372962838</v>
      </c>
      <c r="AX228" s="64">
        <v>9672123.3663251549</v>
      </c>
      <c r="AY228" s="64"/>
      <c r="AZ228" s="64">
        <v>0</v>
      </c>
      <c r="BA228" s="64"/>
      <c r="BB228" s="64">
        <v>0</v>
      </c>
      <c r="BC228" s="64"/>
      <c r="BD228" s="64">
        <v>401573.35786682391</v>
      </c>
      <c r="BE228" s="64">
        <v>0</v>
      </c>
      <c r="BF228" s="64">
        <v>0</v>
      </c>
      <c r="BG228" s="64">
        <v>0</v>
      </c>
      <c r="BH228" s="64">
        <v>0</v>
      </c>
      <c r="BI228" s="64">
        <v>0</v>
      </c>
      <c r="BJ228" s="64"/>
      <c r="BK228" s="65"/>
      <c r="BL228" s="66">
        <v>493291.64877085871</v>
      </c>
    </row>
    <row r="229" spans="1:64" x14ac:dyDescent="0.25">
      <c r="A229" s="141">
        <f t="shared" si="71"/>
        <v>211</v>
      </c>
      <c r="B229" s="142">
        <f t="shared" si="72"/>
        <v>23</v>
      </c>
      <c r="C229" s="62" t="s">
        <v>82</v>
      </c>
      <c r="D229" s="62" t="s">
        <v>1006</v>
      </c>
      <c r="E229" s="123">
        <v>1991</v>
      </c>
      <c r="F229" s="123">
        <v>1991</v>
      </c>
      <c r="G229" s="123" t="s">
        <v>43</v>
      </c>
      <c r="H229" s="123">
        <v>5</v>
      </c>
      <c r="I229" s="123">
        <v>8</v>
      </c>
      <c r="J229" s="64">
        <v>7532.7</v>
      </c>
      <c r="K229" s="64">
        <v>6513.5</v>
      </c>
      <c r="L229" s="64">
        <v>98.2</v>
      </c>
      <c r="M229" s="124">
        <v>288</v>
      </c>
      <c r="N229" s="63">
        <f t="shared" si="73"/>
        <v>5259601.8489347352</v>
      </c>
      <c r="O229" s="125"/>
      <c r="P229" s="65">
        <f>8851318.81019353-8851318.81019353</f>
        <v>0</v>
      </c>
      <c r="Q229" s="65"/>
      <c r="R229" s="65">
        <v>2140753.46</v>
      </c>
      <c r="S229" s="65">
        <f>+'Приложение №2'!E238-'Приложение №1'!P229-'Приложение №1'!Q229-'Приложение №1'!R229</f>
        <v>3118848.3889347352</v>
      </c>
      <c r="T229" s="64">
        <f>+'Приложение №2'!E238-'Приложение №1'!P229-'Приложение №1'!Q229-'Приложение №1'!R229-'Приложение №1'!S229</f>
        <v>0</v>
      </c>
      <c r="U229" s="65">
        <f t="shared" si="89"/>
        <v>795.49916798020706</v>
      </c>
      <c r="V229" s="65">
        <f t="shared" si="89"/>
        <v>795.49916798020706</v>
      </c>
      <c r="W229" s="126">
        <v>2023</v>
      </c>
      <c r="X229" s="127" t="e">
        <f>+#REF!-'[1]Приложение №1'!$P769</f>
        <v>#REF!</v>
      </c>
      <c r="Z229" s="63">
        <f t="shared" ref="Z229" si="95">SUM(AA229:AO229)</f>
        <v>28038201.105236776</v>
      </c>
      <c r="AA229" s="64">
        <v>13119220.497721607</v>
      </c>
      <c r="AB229" s="64">
        <v>5615316.9923980432</v>
      </c>
      <c r="AC229" s="64">
        <v>0</v>
      </c>
      <c r="AD229" s="64">
        <v>5294421.916446479</v>
      </c>
      <c r="AE229" s="64">
        <v>0</v>
      </c>
      <c r="AF229" s="64"/>
      <c r="AG229" s="64">
        <v>544692.12481384957</v>
      </c>
      <c r="AH229" s="64">
        <v>0</v>
      </c>
      <c r="AI229" s="64">
        <v>0</v>
      </c>
      <c r="AJ229" s="64">
        <v>0</v>
      </c>
      <c r="AK229" s="64">
        <v>0</v>
      </c>
      <c r="AL229" s="64">
        <v>0</v>
      </c>
      <c r="AM229" s="64">
        <v>2646791.5738696922</v>
      </c>
      <c r="AN229" s="65">
        <v>280382.01105236774</v>
      </c>
      <c r="AO229" s="66">
        <v>537375.98893473484</v>
      </c>
      <c r="AP229" s="128">
        <f>+N229-'Приложение №2'!E238</f>
        <v>0</v>
      </c>
      <c r="AQ229" s="23">
        <f>3159895.02-'[4]Приложение №1'!$R$23-542094.29</f>
        <v>2338680.5110857142</v>
      </c>
      <c r="AR229" s="25">
        <f>+(K229*10+L229*20)*12*0.85</f>
        <v>684409.79999999993</v>
      </c>
      <c r="AS229" s="25">
        <f>+(K229*10+L229*20)*12*30-'[4]Приложение №1'!$S$23-4668048.56</f>
        <v>19282413.25</v>
      </c>
      <c r="AT229" s="127">
        <f t="shared" si="67"/>
        <v>-16163564.861065265</v>
      </c>
      <c r="AW229" s="63">
        <f t="shared" si="76"/>
        <v>5259601.8489347352</v>
      </c>
      <c r="AX229" s="64">
        <v>2924642.29</v>
      </c>
      <c r="AY229" s="64"/>
      <c r="AZ229" s="64"/>
      <c r="BA229" s="64">
        <v>1797583.57</v>
      </c>
      <c r="BB229" s="64">
        <v>0</v>
      </c>
      <c r="BC229" s="64"/>
      <c r="BD229" s="64"/>
      <c r="BE229" s="64">
        <v>0</v>
      </c>
      <c r="BF229" s="64">
        <v>0</v>
      </c>
      <c r="BG229" s="64">
        <v>0</v>
      </c>
      <c r="BH229" s="64">
        <v>0</v>
      </c>
      <c r="BI229" s="64">
        <v>0</v>
      </c>
      <c r="BJ229" s="64"/>
      <c r="BK229" s="65"/>
      <c r="BL229" s="66">
        <v>537375.98893473484</v>
      </c>
    </row>
    <row r="230" spans="1:64" x14ac:dyDescent="0.25">
      <c r="A230" s="141">
        <f t="shared" si="71"/>
        <v>212</v>
      </c>
      <c r="B230" s="142">
        <f t="shared" si="72"/>
        <v>24</v>
      </c>
      <c r="C230" s="62" t="s">
        <v>82</v>
      </c>
      <c r="D230" s="62" t="s">
        <v>447</v>
      </c>
      <c r="E230" s="123">
        <v>1994</v>
      </c>
      <c r="F230" s="123">
        <v>1994</v>
      </c>
      <c r="G230" s="123" t="s">
        <v>43</v>
      </c>
      <c r="H230" s="123">
        <v>10</v>
      </c>
      <c r="I230" s="123">
        <v>1</v>
      </c>
      <c r="J230" s="64">
        <v>3200.9</v>
      </c>
      <c r="K230" s="64">
        <v>2751.2</v>
      </c>
      <c r="L230" s="64">
        <v>0</v>
      </c>
      <c r="M230" s="124">
        <v>107</v>
      </c>
      <c r="N230" s="63">
        <f>SUM(O230:T230)</f>
        <v>14159244.434273493</v>
      </c>
      <c r="O230" s="64"/>
      <c r="P230" s="65"/>
      <c r="Q230" s="65"/>
      <c r="R230" s="65">
        <f>+AQ230+AR230</f>
        <v>2212765.7779999999</v>
      </c>
      <c r="S230" s="65">
        <f>+'Приложение №2'!E239-'Приложение №1'!P230-'Приложение №1'!Q230-'Приложение №1'!R230</f>
        <v>11946478.656273492</v>
      </c>
      <c r="T230" s="65">
        <f>+'Приложение №2'!E239-'Приложение №1'!P230-'Приложение №1'!R230-'Приложение №1'!S230</f>
        <v>0</v>
      </c>
      <c r="U230" s="65">
        <f>N230/K230</f>
        <v>5146.5703817510521</v>
      </c>
      <c r="V230" s="65">
        <v>1211.2830200640001</v>
      </c>
      <c r="W230" s="126">
        <v>2023</v>
      </c>
      <c r="X230" s="127" t="e">
        <f>+#REF!-'[1]Приложение №1'!$P957</f>
        <v>#REF!</v>
      </c>
      <c r="Z230" s="63">
        <f>SUM(AA230:AO230)</f>
        <v>19454250.558480944</v>
      </c>
      <c r="AA230" s="64">
        <v>0</v>
      </c>
      <c r="AB230" s="64">
        <v>0</v>
      </c>
      <c r="AC230" s="64">
        <v>0</v>
      </c>
      <c r="AD230" s="64">
        <v>0</v>
      </c>
      <c r="AE230" s="64">
        <v>0</v>
      </c>
      <c r="AF230" s="64"/>
      <c r="AG230" s="64">
        <v>0</v>
      </c>
      <c r="AH230" s="64">
        <v>0</v>
      </c>
      <c r="AI230" s="64">
        <v>0</v>
      </c>
      <c r="AJ230" s="64">
        <v>0</v>
      </c>
      <c r="AK230" s="64">
        <v>18910849.804207452</v>
      </c>
      <c r="AL230" s="64">
        <v>0</v>
      </c>
      <c r="AM230" s="64">
        <v>105858.77</v>
      </c>
      <c r="AN230" s="64">
        <v>24000</v>
      </c>
      <c r="AO230" s="66">
        <v>413541.98427349224</v>
      </c>
      <c r="AP230" s="128">
        <f>+N230-'Приложение №2'!E239</f>
        <v>0</v>
      </c>
      <c r="AQ230" s="23">
        <f>2009065.49-187767.96</f>
        <v>1821297.53</v>
      </c>
      <c r="AR230" s="25">
        <f>+(K230*13.95+L230*23.65)*12*0.85</f>
        <v>391468.24800000002</v>
      </c>
      <c r="AS230" s="25">
        <f>+(K230*13.95+L230*23.65)*12*30-105832.49</f>
        <v>13710693.91</v>
      </c>
      <c r="AT230" s="127">
        <f>+S230-AS230</f>
        <v>-1764215.2537265085</v>
      </c>
      <c r="AU230" s="127">
        <f>+P230-'[6]Приложение №1'!$P496</f>
        <v>-1140762.2226702368</v>
      </c>
      <c r="AV230" s="127">
        <f>+Q230-'[6]Приложение №1'!$Q496</f>
        <v>0</v>
      </c>
      <c r="AW230" s="88">
        <f>SUBTOTAL(9,AX230:BL230)</f>
        <v>14159244.434273491</v>
      </c>
      <c r="AX230" s="64">
        <v>0</v>
      </c>
      <c r="AY230" s="64">
        <v>0</v>
      </c>
      <c r="AZ230" s="64">
        <v>0</v>
      </c>
      <c r="BA230" s="64">
        <v>0</v>
      </c>
      <c r="BB230" s="64">
        <v>0</v>
      </c>
      <c r="BC230" s="64"/>
      <c r="BD230" s="64"/>
      <c r="BE230" s="64">
        <v>0</v>
      </c>
      <c r="BF230" s="64">
        <v>0</v>
      </c>
      <c r="BG230" s="64">
        <v>0</v>
      </c>
      <c r="BH230" s="64">
        <v>13745702.449999999</v>
      </c>
      <c r="BI230" s="64">
        <v>0</v>
      </c>
      <c r="BJ230" s="64"/>
      <c r="BK230" s="64"/>
      <c r="BL230" s="66">
        <v>413541.98427349224</v>
      </c>
    </row>
    <row r="231" spans="1:64" x14ac:dyDescent="0.25">
      <c r="A231" s="141">
        <f t="shared" si="71"/>
        <v>213</v>
      </c>
      <c r="B231" s="142">
        <f t="shared" si="72"/>
        <v>25</v>
      </c>
      <c r="C231" s="62" t="s">
        <v>82</v>
      </c>
      <c r="D231" s="62" t="s">
        <v>1068</v>
      </c>
      <c r="E231" s="123">
        <v>1995</v>
      </c>
      <c r="F231" s="123">
        <v>2010</v>
      </c>
      <c r="G231" s="123" t="s">
        <v>43</v>
      </c>
      <c r="H231" s="123">
        <v>9</v>
      </c>
      <c r="I231" s="123">
        <v>1</v>
      </c>
      <c r="J231" s="64">
        <v>2996.5</v>
      </c>
      <c r="K231" s="64">
        <v>2550.1</v>
      </c>
      <c r="L231" s="64">
        <v>76.599999999999994</v>
      </c>
      <c r="M231" s="124">
        <v>105</v>
      </c>
      <c r="N231" s="95">
        <f t="shared" si="73"/>
        <v>24578857.282722518</v>
      </c>
      <c r="O231" s="64"/>
      <c r="P231" s="65"/>
      <c r="Q231" s="65"/>
      <c r="R231" s="65">
        <f>+AQ231+AR231</f>
        <v>1353266.2159999998</v>
      </c>
      <c r="S231" s="65">
        <f>+AS231</f>
        <v>10193295.879999997</v>
      </c>
      <c r="T231" s="65">
        <f>+'Приложение №2'!E240-'Приложение №1'!P231-'Приложение №1'!R231-'Приложение №1'!S231</f>
        <v>13032295.186722523</v>
      </c>
      <c r="U231" s="64">
        <f t="shared" si="89"/>
        <v>9357.3142280132943</v>
      </c>
      <c r="V231" s="64">
        <f t="shared" si="89"/>
        <v>9357.3142280132943</v>
      </c>
      <c r="W231" s="126">
        <v>2023</v>
      </c>
      <c r="X231" s="127" t="e">
        <f>+#REF!-'[1]Приложение №1'!$P958</f>
        <v>#REF!</v>
      </c>
      <c r="Z231" s="63">
        <f t="shared" si="90"/>
        <v>13446173.905525668</v>
      </c>
      <c r="AA231" s="64">
        <v>6133316.7977849664</v>
      </c>
      <c r="AB231" s="64">
        <v>2453911.6795918704</v>
      </c>
      <c r="AC231" s="64">
        <v>1812454.0010526525</v>
      </c>
      <c r="AD231" s="64">
        <v>1158241.1970624225</v>
      </c>
      <c r="AE231" s="64">
        <v>0</v>
      </c>
      <c r="AF231" s="64"/>
      <c r="AG231" s="64">
        <v>272494.70482550462</v>
      </c>
      <c r="AH231" s="64">
        <v>0</v>
      </c>
      <c r="AI231" s="64">
        <v>0</v>
      </c>
      <c r="AJ231" s="64">
        <v>0</v>
      </c>
      <c r="AK231" s="64">
        <v>0</v>
      </c>
      <c r="AL231" s="64">
        <v>0</v>
      </c>
      <c r="AM231" s="64">
        <v>1222586.4968225325</v>
      </c>
      <c r="AN231" s="65">
        <v>134461.73905525671</v>
      </c>
      <c r="AO231" s="66">
        <v>258707.28933046467</v>
      </c>
      <c r="AP231" s="128">
        <f>+N231-'Приложение №2'!E240</f>
        <v>0</v>
      </c>
      <c r="AQ231" s="23">
        <f>1427710.38-437725.9462</f>
        <v>989984.43379999988</v>
      </c>
      <c r="AR231" s="25">
        <f t="shared" si="92"/>
        <v>363281.78219999996</v>
      </c>
      <c r="AS231" s="25">
        <f>+(K231*13.29+L231*22.52)*12*30-2628414.08</f>
        <v>10193295.879999997</v>
      </c>
      <c r="AT231" s="127">
        <f t="shared" si="67"/>
        <v>0</v>
      </c>
      <c r="AU231" s="127">
        <f>+P231-'[6]Приложение №1'!$P237</f>
        <v>0</v>
      </c>
      <c r="AV231" s="127">
        <f>+Q231-'[6]Приложение №1'!$Q237</f>
        <v>0</v>
      </c>
      <c r="AW231" s="63">
        <f t="shared" si="76"/>
        <v>24578857.282722518</v>
      </c>
      <c r="AX231" s="64">
        <v>6133316.7977849664</v>
      </c>
      <c r="AY231" s="64"/>
      <c r="AZ231" s="64"/>
      <c r="BA231" s="64"/>
      <c r="BB231" s="64"/>
      <c r="BC231" s="64"/>
      <c r="BD231" s="64">
        <v>272494.70482550462</v>
      </c>
      <c r="BE231" s="64">
        <v>0</v>
      </c>
      <c r="BF231" s="64">
        <v>0</v>
      </c>
      <c r="BG231" s="64">
        <v>0</v>
      </c>
      <c r="BH231" s="64">
        <v>17569980.090778742</v>
      </c>
      <c r="BI231" s="64">
        <v>0</v>
      </c>
      <c r="BJ231" s="64"/>
      <c r="BK231" s="65"/>
      <c r="BL231" s="66">
        <f>39634.6981632197+563430.991170086</f>
        <v>603065.68933330569</v>
      </c>
    </row>
    <row r="232" spans="1:64" x14ac:dyDescent="0.25">
      <c r="A232" s="141">
        <f t="shared" si="71"/>
        <v>214</v>
      </c>
      <c r="B232" s="142">
        <f t="shared" si="72"/>
        <v>26</v>
      </c>
      <c r="C232" s="62" t="s">
        <v>82</v>
      </c>
      <c r="D232" s="62" t="s">
        <v>325</v>
      </c>
      <c r="E232" s="123">
        <v>1983</v>
      </c>
      <c r="F232" s="123">
        <v>2015</v>
      </c>
      <c r="G232" s="123" t="s">
        <v>43</v>
      </c>
      <c r="H232" s="123">
        <v>5</v>
      </c>
      <c r="I232" s="123">
        <v>4</v>
      </c>
      <c r="J232" s="64">
        <v>4471.8999999999996</v>
      </c>
      <c r="K232" s="64">
        <v>3791</v>
      </c>
      <c r="L232" s="64">
        <v>256.8</v>
      </c>
      <c r="M232" s="124">
        <v>156</v>
      </c>
      <c r="N232" s="63">
        <f>SUM(O232:T232)</f>
        <v>30321154.784761567</v>
      </c>
      <c r="O232" s="64"/>
      <c r="P232" s="65"/>
      <c r="Q232" s="65"/>
      <c r="R232" s="65">
        <f>+AQ232+AR232</f>
        <v>495437.64000000007</v>
      </c>
      <c r="S232" s="65">
        <f>+AS232</f>
        <v>4875776.6145366915</v>
      </c>
      <c r="T232" s="65">
        <f>+'Приложение №2'!E241-'Приложение №1'!P232-'Приложение №1'!R232-'Приложение №1'!S232</f>
        <v>24949940.530224875</v>
      </c>
      <c r="U232" s="65">
        <f>N232/K232</f>
        <v>7998.1943510318033</v>
      </c>
      <c r="V232" s="65">
        <v>1223.2830200640001</v>
      </c>
      <c r="W232" s="126">
        <v>2023</v>
      </c>
      <c r="X232" s="127" t="e">
        <f>+#REF!-'[1]Приложение №1'!$P369</f>
        <v>#REF!</v>
      </c>
      <c r="Z232" s="63">
        <f>SUM(AA232:AO232)</f>
        <v>30449371.414761566</v>
      </c>
      <c r="AA232" s="64">
        <v>0</v>
      </c>
      <c r="AB232" s="64">
        <v>0</v>
      </c>
      <c r="AC232" s="64">
        <v>0</v>
      </c>
      <c r="AD232" s="64">
        <v>0</v>
      </c>
      <c r="AE232" s="64">
        <v>0</v>
      </c>
      <c r="AF232" s="64"/>
      <c r="AG232" s="64">
        <v>0</v>
      </c>
      <c r="AH232" s="64">
        <v>0</v>
      </c>
      <c r="AI232" s="64">
        <v>0</v>
      </c>
      <c r="AJ232" s="64">
        <v>0</v>
      </c>
      <c r="AK232" s="64">
        <v>29741216.056796018</v>
      </c>
      <c r="AL232" s="64">
        <v>0</v>
      </c>
      <c r="AM232" s="64">
        <v>104216.63</v>
      </c>
      <c r="AN232" s="64">
        <v>24000</v>
      </c>
      <c r="AO232" s="66">
        <v>579938.72796554875</v>
      </c>
      <c r="AP232" s="128">
        <f>+N232-'Приложение №2'!E241</f>
        <v>0</v>
      </c>
      <c r="AQ232" s="127">
        <f>2269636.35-R551</f>
        <v>34414.979999999981</v>
      </c>
      <c r="AR232" s="25">
        <f>+(K232*10.5+L232*21)*12*0.85</f>
        <v>461022.66000000009</v>
      </c>
      <c r="AS232" s="25">
        <f>+(K232*10.5+L232*21)*12*30-S551</f>
        <v>4875776.6145366915</v>
      </c>
      <c r="AT232" s="127">
        <f>+S232-AS232</f>
        <v>0</v>
      </c>
      <c r="AU232" s="127">
        <f>+P232-'[6]Приложение №1'!$P508</f>
        <v>-5162464.244825148</v>
      </c>
      <c r="AV232" s="127">
        <f>+Q232-'[6]Приложение №1'!$Q508</f>
        <v>0</v>
      </c>
      <c r="AW232" s="88">
        <f>SUBTOTAL(9,AX232:BL232)</f>
        <v>30321154.784761567</v>
      </c>
      <c r="AX232" s="64">
        <v>0</v>
      </c>
      <c r="AY232" s="64">
        <v>0</v>
      </c>
      <c r="AZ232" s="64">
        <v>0</v>
      </c>
      <c r="BA232" s="64">
        <v>0</v>
      </c>
      <c r="BB232" s="64">
        <v>0</v>
      </c>
      <c r="BC232" s="64"/>
      <c r="BD232" s="64"/>
      <c r="BE232" s="64">
        <v>0</v>
      </c>
      <c r="BF232" s="64">
        <v>0</v>
      </c>
      <c r="BG232" s="64">
        <v>0</v>
      </c>
      <c r="BH232" s="64">
        <v>29741216.056796018</v>
      </c>
      <c r="BI232" s="64">
        <v>0</v>
      </c>
      <c r="BJ232" s="64"/>
      <c r="BK232" s="64"/>
      <c r="BL232" s="66">
        <v>579938.72796554875</v>
      </c>
    </row>
    <row r="233" spans="1:64" x14ac:dyDescent="0.25">
      <c r="A233" s="141">
        <f t="shared" si="71"/>
        <v>215</v>
      </c>
      <c r="B233" s="142">
        <f t="shared" si="72"/>
        <v>27</v>
      </c>
      <c r="C233" s="62" t="s">
        <v>82</v>
      </c>
      <c r="D233" s="62" t="s">
        <v>1069</v>
      </c>
      <c r="E233" s="123">
        <v>1992</v>
      </c>
      <c r="F233" s="123">
        <v>2017</v>
      </c>
      <c r="G233" s="123" t="s">
        <v>43</v>
      </c>
      <c r="H233" s="123">
        <v>9</v>
      </c>
      <c r="I233" s="123">
        <v>2</v>
      </c>
      <c r="J233" s="64">
        <v>6450</v>
      </c>
      <c r="K233" s="64">
        <v>5551</v>
      </c>
      <c r="L233" s="64">
        <v>31</v>
      </c>
      <c r="M233" s="124">
        <v>215</v>
      </c>
      <c r="N233" s="63">
        <f>SUM(O233:T233)</f>
        <v>18619115.200956475</v>
      </c>
      <c r="O233" s="64"/>
      <c r="P233" s="65"/>
      <c r="Q233" s="65"/>
      <c r="R233" s="65">
        <f>+AQ233+AR233</f>
        <v>2685555.0399999996</v>
      </c>
      <c r="S233" s="65">
        <f>+'Приложение №2'!E242-'Приложение №1'!P233-'Приложение №1'!Q233-'Приложение №1'!R233</f>
        <v>15933560.160956476</v>
      </c>
      <c r="T233" s="65"/>
      <c r="U233" s="65">
        <f>N233/K233</f>
        <v>3354.1911729339713</v>
      </c>
      <c r="V233" s="65">
        <v>1226.2830200640001</v>
      </c>
      <c r="W233" s="126">
        <v>2023</v>
      </c>
      <c r="X233" s="127" t="e">
        <f>+#REF!-'[1]Приложение №1'!$P964</f>
        <v>#REF!</v>
      </c>
      <c r="Z233" s="63">
        <f>SUM(AA233:AO233)</f>
        <v>39482783.303666979</v>
      </c>
      <c r="AA233" s="64">
        <v>0</v>
      </c>
      <c r="AB233" s="64">
        <v>0</v>
      </c>
      <c r="AC233" s="64">
        <v>0</v>
      </c>
      <c r="AD233" s="64">
        <v>0</v>
      </c>
      <c r="AE233" s="64">
        <v>0</v>
      </c>
      <c r="AF233" s="64"/>
      <c r="AG233" s="64">
        <v>0</v>
      </c>
      <c r="AH233" s="64">
        <v>0</v>
      </c>
      <c r="AI233" s="64">
        <v>0</v>
      </c>
      <c r="AJ233" s="64">
        <v>0</v>
      </c>
      <c r="AK233" s="64">
        <v>38467833.172710508</v>
      </c>
      <c r="AL233" s="64">
        <v>0</v>
      </c>
      <c r="AM233" s="64">
        <v>149736.53</v>
      </c>
      <c r="AN233" s="64">
        <v>24000</v>
      </c>
      <c r="AO233" s="66">
        <v>841213.6009564735</v>
      </c>
      <c r="AP233" s="128">
        <f>+N233-'Приложение №2'!E242</f>
        <v>0</v>
      </c>
      <c r="AQ233" s="23">
        <f>4311391.97-'[4]Приложение №1'!$R$346</f>
        <v>1888225.1199999996</v>
      </c>
      <c r="AR233" s="25">
        <f>+(K233*13.95+L233*23.65)*12*0.85</f>
        <v>797329.91999999993</v>
      </c>
      <c r="AS233" s="25">
        <f>+(K233*13.95+L233*23.65)*12*30-'[4]Приложение №1'!$S$346</f>
        <v>27260012.43</v>
      </c>
      <c r="AT233" s="127">
        <f>+S233-AS233</f>
        <v>-11326452.269043524</v>
      </c>
      <c r="AU233" s="127">
        <f>+P233-'[6]Приложение №1'!$P510</f>
        <v>0</v>
      </c>
      <c r="AV233" s="127">
        <f>+Q233-'[6]Приложение №1'!$Q510</f>
        <v>0</v>
      </c>
      <c r="AW233" s="88">
        <f>SUBTOTAL(9,AX233:BL233)</f>
        <v>18619115.200956475</v>
      </c>
      <c r="AX233" s="64">
        <v>0</v>
      </c>
      <c r="AY233" s="64">
        <v>0</v>
      </c>
      <c r="AZ233" s="64">
        <v>0</v>
      </c>
      <c r="BA233" s="64">
        <v>0</v>
      </c>
      <c r="BB233" s="64">
        <v>0</v>
      </c>
      <c r="BC233" s="64"/>
      <c r="BD233" s="64"/>
      <c r="BE233" s="64">
        <v>0</v>
      </c>
      <c r="BF233" s="64">
        <v>0</v>
      </c>
      <c r="BG233" s="64">
        <v>0</v>
      </c>
      <c r="BH233" s="64">
        <v>17777901.600000001</v>
      </c>
      <c r="BI233" s="64">
        <v>0</v>
      </c>
      <c r="BJ233" s="64"/>
      <c r="BK233" s="64"/>
      <c r="BL233" s="66">
        <v>841213.6009564735</v>
      </c>
    </row>
    <row r="234" spans="1:64" x14ac:dyDescent="0.25">
      <c r="A234" s="141">
        <f t="shared" si="71"/>
        <v>216</v>
      </c>
      <c r="B234" s="142">
        <f t="shared" si="72"/>
        <v>28</v>
      </c>
      <c r="C234" s="62" t="s">
        <v>82</v>
      </c>
      <c r="D234" s="62" t="s">
        <v>330</v>
      </c>
      <c r="E234" s="123">
        <v>1996</v>
      </c>
      <c r="F234" s="123">
        <v>1996</v>
      </c>
      <c r="G234" s="123" t="s">
        <v>43</v>
      </c>
      <c r="H234" s="123">
        <v>3</v>
      </c>
      <c r="I234" s="123">
        <v>2</v>
      </c>
      <c r="J234" s="64">
        <v>1212.9000000000001</v>
      </c>
      <c r="K234" s="64">
        <v>969.5</v>
      </c>
      <c r="L234" s="64">
        <v>83.1</v>
      </c>
      <c r="M234" s="124">
        <v>29</v>
      </c>
      <c r="N234" s="63">
        <f t="shared" ref="N234" si="96">SUM(O234:T234)</f>
        <v>3415264.4019965469</v>
      </c>
      <c r="O234" s="64"/>
      <c r="P234" s="65"/>
      <c r="Q234" s="65"/>
      <c r="R234" s="65">
        <f t="shared" ref="R234" si="97">+AQ234+AR234</f>
        <v>794591.09</v>
      </c>
      <c r="S234" s="65">
        <f>+'Приложение №2'!E243-'Приложение №1'!P234-'Приложение №1'!Q234-'Приложение №1'!R234</f>
        <v>2620673.311996547</v>
      </c>
      <c r="T234" s="65">
        <f>+'Приложение №2'!E243-'Приложение №1'!P234-'Приложение №1'!Q234-'Приложение №1'!R234-'Приложение №1'!S234</f>
        <v>0</v>
      </c>
      <c r="U234" s="65">
        <f t="shared" ref="U234" si="98">N234/K234</f>
        <v>3522.7069644110852</v>
      </c>
      <c r="V234" s="65">
        <v>1230.2830200640001</v>
      </c>
      <c r="W234" s="126">
        <v>2023</v>
      </c>
      <c r="X234" s="127" t="e">
        <f>+#REF!-'[1]Приложение №1'!$P299</f>
        <v>#REF!</v>
      </c>
      <c r="Z234" s="63">
        <f t="shared" ref="Z234" si="99">SUM(AA234:AO234)</f>
        <v>8757819.8400000017</v>
      </c>
      <c r="AA234" s="64">
        <v>4004514.1821484803</v>
      </c>
      <c r="AB234" s="64">
        <v>2086346.4776985601</v>
      </c>
      <c r="AC234" s="64">
        <v>863302.14653759997</v>
      </c>
      <c r="AD234" s="64">
        <v>448610.79529728007</v>
      </c>
      <c r="AE234" s="64">
        <v>0</v>
      </c>
      <c r="AF234" s="64"/>
      <c r="AG234" s="64">
        <v>327305.36184192001</v>
      </c>
      <c r="AH234" s="64">
        <v>0</v>
      </c>
      <c r="AI234" s="64">
        <v>0</v>
      </c>
      <c r="AJ234" s="64">
        <v>0</v>
      </c>
      <c r="AK234" s="64">
        <v>0</v>
      </c>
      <c r="AL234" s="64">
        <v>0</v>
      </c>
      <c r="AM234" s="64">
        <v>771121.50719999999</v>
      </c>
      <c r="AN234" s="65">
        <v>87578.198400000023</v>
      </c>
      <c r="AO234" s="66">
        <v>169041.17087616003</v>
      </c>
      <c r="AP234" s="128">
        <f>+N234-'Приложение №2'!E243</f>
        <v>0</v>
      </c>
      <c r="AQ234" s="38">
        <v>672957.62</v>
      </c>
      <c r="AR234" s="25">
        <f t="shared" ref="AR234" si="100">+(K234*10.5+L234*21)*12*0.85</f>
        <v>121633.47</v>
      </c>
      <c r="AS234" s="25">
        <f>+(K234*10.5+L234*21)*12*30</f>
        <v>4292946</v>
      </c>
      <c r="AT234" s="127">
        <f t="shared" ref="AT234" si="101">+S234-AS234</f>
        <v>-1672272.688003453</v>
      </c>
      <c r="AU234" s="127">
        <f>+P234-'[6]Приложение №1'!$P217</f>
        <v>-1586711.6355164612</v>
      </c>
      <c r="AV234" s="127">
        <f>+Q234-'[6]Приложение №1'!$Q217</f>
        <v>0</v>
      </c>
      <c r="AW234" s="88">
        <f t="shared" ref="AW234" si="102">SUBTOTAL(9,AX234:BL234)</f>
        <v>3415264.4019965469</v>
      </c>
      <c r="AX234" s="64">
        <v>2105749.0699999998</v>
      </c>
      <c r="AY234" s="64"/>
      <c r="AZ234" s="64"/>
      <c r="BA234" s="64">
        <v>888374.4</v>
      </c>
      <c r="BB234" s="64">
        <v>0</v>
      </c>
      <c r="BC234" s="64"/>
      <c r="BD234" s="64">
        <v>327305.36184192001</v>
      </c>
      <c r="BE234" s="64">
        <v>0</v>
      </c>
      <c r="BF234" s="64">
        <v>0</v>
      </c>
      <c r="BG234" s="64"/>
      <c r="BH234" s="64">
        <v>0</v>
      </c>
      <c r="BI234" s="64">
        <v>0</v>
      </c>
      <c r="BJ234" s="64"/>
      <c r="BK234" s="65"/>
      <c r="BL234" s="66">
        <v>93835.570154627276</v>
      </c>
    </row>
    <row r="235" spans="1:64" x14ac:dyDescent="0.25">
      <c r="A235" s="141">
        <f t="shared" si="71"/>
        <v>217</v>
      </c>
      <c r="B235" s="142">
        <f t="shared" si="72"/>
        <v>29</v>
      </c>
      <c r="C235" s="62" t="s">
        <v>82</v>
      </c>
      <c r="D235" s="62" t="s">
        <v>333</v>
      </c>
      <c r="E235" s="123">
        <v>1992</v>
      </c>
      <c r="F235" s="123">
        <v>2001</v>
      </c>
      <c r="G235" s="123" t="s">
        <v>43</v>
      </c>
      <c r="H235" s="123">
        <v>3</v>
      </c>
      <c r="I235" s="123">
        <v>5</v>
      </c>
      <c r="J235" s="64">
        <v>2965.1</v>
      </c>
      <c r="K235" s="64">
        <v>2484</v>
      </c>
      <c r="L235" s="64">
        <v>87.5</v>
      </c>
      <c r="M235" s="124">
        <v>91</v>
      </c>
      <c r="N235" s="63">
        <f t="shared" si="73"/>
        <v>9298826.2293740809</v>
      </c>
      <c r="O235" s="64"/>
      <c r="P235" s="65">
        <v>4678148.12</v>
      </c>
      <c r="Q235" s="65"/>
      <c r="R235" s="65">
        <v>213532.98</v>
      </c>
      <c r="S235" s="65">
        <f>+AS235</f>
        <v>2035941.8399999999</v>
      </c>
      <c r="T235" s="65">
        <f>+'Приложение №2'!E244-'Приложение №1'!P235-'Приложение №1'!R235-'Приложение №1'!S235</f>
        <v>2371203.2893740805</v>
      </c>
      <c r="U235" s="65">
        <f t="shared" si="89"/>
        <v>3616.1097528190089</v>
      </c>
      <c r="V235" s="65">
        <f t="shared" si="89"/>
        <v>3616.1097528190089</v>
      </c>
      <c r="W235" s="126">
        <v>2023</v>
      </c>
      <c r="X235" s="127" t="e">
        <f>+#REF!-'[1]Приложение №1'!$P1556</f>
        <v>#REF!</v>
      </c>
      <c r="Z235" s="63">
        <f t="shared" si="90"/>
        <v>25552155.489999998</v>
      </c>
      <c r="AA235" s="64">
        <v>0</v>
      </c>
      <c r="AB235" s="64">
        <v>0</v>
      </c>
      <c r="AC235" s="64">
        <v>0</v>
      </c>
      <c r="AD235" s="64">
        <v>0</v>
      </c>
      <c r="AE235" s="64">
        <v>0</v>
      </c>
      <c r="AF235" s="64"/>
      <c r="AG235" s="64">
        <v>0</v>
      </c>
      <c r="AH235" s="64">
        <v>0</v>
      </c>
      <c r="AI235" s="64">
        <v>22504805.426262595</v>
      </c>
      <c r="AJ235" s="64">
        <v>0</v>
      </c>
      <c r="AK235" s="64">
        <v>0</v>
      </c>
      <c r="AL235" s="64">
        <v>0</v>
      </c>
      <c r="AM235" s="64">
        <v>2299693.9940999998</v>
      </c>
      <c r="AN235" s="65">
        <v>255521.55489999999</v>
      </c>
      <c r="AO235" s="66">
        <v>492134.51473739999</v>
      </c>
      <c r="AP235" s="128">
        <f>+N235-'Приложение №2'!E244</f>
        <v>0</v>
      </c>
      <c r="AQ235" s="127">
        <f>1173019.05-R51</f>
        <v>-13985.589374080999</v>
      </c>
      <c r="AR235" s="25">
        <f t="shared" ref="AR235" si="103">+(K235*10+L235*20)*12*0.85</f>
        <v>271218</v>
      </c>
      <c r="AS235" s="25">
        <f>+(K235*10+L235*20)*12*30-S51</f>
        <v>2035941.8399999999</v>
      </c>
      <c r="AT235" s="127">
        <f t="shared" si="67"/>
        <v>0</v>
      </c>
      <c r="AW235" s="63">
        <f t="shared" si="76"/>
        <v>9298826.2293740809</v>
      </c>
      <c r="AX235" s="64">
        <v>0</v>
      </c>
      <c r="AY235" s="64">
        <v>0</v>
      </c>
      <c r="AZ235" s="64">
        <v>0</v>
      </c>
      <c r="BA235" s="64">
        <v>0</v>
      </c>
      <c r="BB235" s="64">
        <v>0</v>
      </c>
      <c r="BC235" s="64"/>
      <c r="BD235" s="64"/>
      <c r="BE235" s="64">
        <v>0</v>
      </c>
      <c r="BF235" s="64">
        <v>8234860.9800000004</v>
      </c>
      <c r="BG235" s="64">
        <v>0</v>
      </c>
      <c r="BH235" s="64"/>
      <c r="BI235" s="64">
        <v>0</v>
      </c>
      <c r="BJ235" s="64"/>
      <c r="BK235" s="65"/>
      <c r="BL235" s="66">
        <v>1063965.2493740798</v>
      </c>
    </row>
    <row r="236" spans="1:64" x14ac:dyDescent="0.25">
      <c r="A236" s="141">
        <f t="shared" si="71"/>
        <v>218</v>
      </c>
      <c r="B236" s="142">
        <f t="shared" si="72"/>
        <v>30</v>
      </c>
      <c r="C236" s="62" t="s">
        <v>82</v>
      </c>
      <c r="D236" s="62" t="s">
        <v>663</v>
      </c>
      <c r="E236" s="123">
        <v>1988</v>
      </c>
      <c r="F236" s="123">
        <v>2017</v>
      </c>
      <c r="G236" s="123" t="s">
        <v>43</v>
      </c>
      <c r="H236" s="123">
        <v>9</v>
      </c>
      <c r="I236" s="123">
        <v>3</v>
      </c>
      <c r="J236" s="64">
        <v>8927</v>
      </c>
      <c r="K236" s="64">
        <v>7116.5</v>
      </c>
      <c r="L236" s="64">
        <v>0</v>
      </c>
      <c r="M236" s="124">
        <v>291</v>
      </c>
      <c r="N236" s="63">
        <f>SUM(O236:T236)</f>
        <v>8370298.1810806282</v>
      </c>
      <c r="O236" s="64"/>
      <c r="P236" s="65"/>
      <c r="Q236" s="65"/>
      <c r="R236" s="65">
        <f>+AQ236+AR236</f>
        <v>6657296.7949999999</v>
      </c>
      <c r="S236" s="65">
        <f>+'Приложение №2'!E245-'Приложение №1'!R236</f>
        <v>1713001.3860806283</v>
      </c>
      <c r="T236" s="65">
        <v>0</v>
      </c>
      <c r="U236" s="65">
        <f>N236/K236</f>
        <v>1176.181856401409</v>
      </c>
      <c r="V236" s="65">
        <v>1229.2830200640001</v>
      </c>
      <c r="W236" s="126">
        <v>2023</v>
      </c>
      <c r="X236" s="127" t="e">
        <f>+#REF!-'[1]Приложение №1'!$P968</f>
        <v>#REF!</v>
      </c>
      <c r="Z236" s="63">
        <f>SUM(AA236:AO236)</f>
        <v>8403162.2358746398</v>
      </c>
      <c r="AA236" s="64">
        <v>0</v>
      </c>
      <c r="AB236" s="64">
        <v>0</v>
      </c>
      <c r="AC236" s="64">
        <v>0</v>
      </c>
      <c r="AD236" s="64">
        <v>0</v>
      </c>
      <c r="AE236" s="64">
        <v>0</v>
      </c>
      <c r="AF236" s="64"/>
      <c r="AG236" s="64">
        <v>0</v>
      </c>
      <c r="AH236" s="64">
        <v>0</v>
      </c>
      <c r="AI236" s="64">
        <v>7401001.10762423</v>
      </c>
      <c r="AJ236" s="64">
        <v>0</v>
      </c>
      <c r="AK236" s="64">
        <v>0</v>
      </c>
      <c r="AL236" s="64">
        <v>0</v>
      </c>
      <c r="AM236" s="64">
        <v>756284.6012287176</v>
      </c>
      <c r="AN236" s="65">
        <v>84031.622358746405</v>
      </c>
      <c r="AO236" s="66">
        <v>161844.90466294557</v>
      </c>
      <c r="AP236" s="128">
        <f>+N236-'Приложение №2'!E245</f>
        <v>0</v>
      </c>
      <c r="AQ236" s="38">
        <v>5644690.0099999998</v>
      </c>
      <c r="AR236" s="25">
        <f>+(K236*13.95+L236*23.65)*12*0.85</f>
        <v>1012606.7849999998</v>
      </c>
      <c r="AS236" s="25">
        <f>+(K236*13.95+L236*23.65)*12*30</f>
        <v>35739062.999999993</v>
      </c>
      <c r="AT236" s="127">
        <f>+S236-AS236</f>
        <v>-34026061.613919362</v>
      </c>
      <c r="AU236" s="127">
        <f>+P236-'[6]Приложение №1'!$P513</f>
        <v>0</v>
      </c>
      <c r="AV236" s="127">
        <f>+Q236-'[6]Приложение №1'!$Q513</f>
        <v>0</v>
      </c>
      <c r="AW236" s="88">
        <f>SUBTOTAL(9,AX236:BL236)</f>
        <v>8370298.1810806282</v>
      </c>
      <c r="AX236" s="64">
        <v>0</v>
      </c>
      <c r="AY236" s="64">
        <v>0</v>
      </c>
      <c r="AZ236" s="64">
        <v>0</v>
      </c>
      <c r="BA236" s="64">
        <v>0</v>
      </c>
      <c r="BB236" s="64">
        <v>0</v>
      </c>
      <c r="BC236" s="64"/>
      <c r="BD236" s="64"/>
      <c r="BE236" s="64">
        <v>0</v>
      </c>
      <c r="BF236" s="64">
        <v>8193337.4100000001</v>
      </c>
      <c r="BG236" s="64">
        <v>0</v>
      </c>
      <c r="BH236" s="64">
        <v>0</v>
      </c>
      <c r="BI236" s="64">
        <v>0</v>
      </c>
      <c r="BJ236" s="64"/>
      <c r="BK236" s="65"/>
      <c r="BL236" s="66">
        <v>176960.77108062804</v>
      </c>
    </row>
    <row r="237" spans="1:64" x14ac:dyDescent="0.25">
      <c r="A237" s="141">
        <f t="shared" si="71"/>
        <v>219</v>
      </c>
      <c r="B237" s="142">
        <f t="shared" si="72"/>
        <v>31</v>
      </c>
      <c r="C237" s="62" t="s">
        <v>82</v>
      </c>
      <c r="D237" s="62" t="s">
        <v>337</v>
      </c>
      <c r="E237" s="123">
        <v>1987</v>
      </c>
      <c r="F237" s="123">
        <v>2017</v>
      </c>
      <c r="G237" s="123" t="s">
        <v>43</v>
      </c>
      <c r="H237" s="123">
        <v>9</v>
      </c>
      <c r="I237" s="123">
        <v>1</v>
      </c>
      <c r="J237" s="64">
        <v>2767.8</v>
      </c>
      <c r="K237" s="64">
        <v>2150.8000000000002</v>
      </c>
      <c r="L237" s="64">
        <v>66.8</v>
      </c>
      <c r="M237" s="124">
        <v>94</v>
      </c>
      <c r="N237" s="95">
        <f t="shared" si="73"/>
        <v>5935901.4009709377</v>
      </c>
      <c r="O237" s="64"/>
      <c r="P237" s="65"/>
      <c r="Q237" s="65"/>
      <c r="R237" s="65">
        <f t="shared" ref="R237:R244" si="104">+AQ237+AR237</f>
        <v>1701231.8336</v>
      </c>
      <c r="S237" s="65">
        <f>+'Приложение №2'!E246-'Приложение №1'!R237</f>
        <v>4234669.5673709381</v>
      </c>
      <c r="T237" s="65">
        <v>2.3283064365386963E-10</v>
      </c>
      <c r="U237" s="64">
        <f t="shared" si="89"/>
        <v>2676.7232147235463</v>
      </c>
      <c r="V237" s="64">
        <f t="shared" si="89"/>
        <v>2676.7232147235463</v>
      </c>
      <c r="W237" s="126">
        <v>2023</v>
      </c>
      <c r="X237" s="127" t="e">
        <f>+#REF!-'[1]Приложение №1'!$P969</f>
        <v>#REF!</v>
      </c>
      <c r="Z237" s="63">
        <f t="shared" si="90"/>
        <v>24358296.106563497</v>
      </c>
      <c r="AA237" s="64">
        <v>5322442.2844350552</v>
      </c>
      <c r="AB237" s="64">
        <v>2129484.5377048999</v>
      </c>
      <c r="AC237" s="64">
        <v>0</v>
      </c>
      <c r="AD237" s="64">
        <v>0</v>
      </c>
      <c r="AE237" s="64">
        <v>0</v>
      </c>
      <c r="AF237" s="64"/>
      <c r="AG237" s="64">
        <v>236468.68196531132</v>
      </c>
      <c r="AH237" s="64">
        <v>0</v>
      </c>
      <c r="AI237" s="64">
        <v>0</v>
      </c>
      <c r="AJ237" s="64">
        <v>0</v>
      </c>
      <c r="AK237" s="64">
        <v>13665253.188203763</v>
      </c>
      <c r="AL237" s="64">
        <v>0</v>
      </c>
      <c r="AM237" s="64">
        <v>2294103.4047365393</v>
      </c>
      <c r="AN237" s="65">
        <v>243582.96106563497</v>
      </c>
      <c r="AO237" s="66">
        <v>466961.04845229239</v>
      </c>
      <c r="AP237" s="128">
        <f>+N237-'Приложение №2'!E246</f>
        <v>0</v>
      </c>
      <c r="AQ237" s="23">
        <v>1394329.46</v>
      </c>
      <c r="AR237" s="25">
        <f>+(K237*13.29+L237*22.52)*12*0.85</f>
        <v>306902.37360000005</v>
      </c>
      <c r="AS237" s="25">
        <f>+(K237*13.29+L237*22.52)*12*30</f>
        <v>10831848.48</v>
      </c>
      <c r="AT237" s="127">
        <f t="shared" si="67"/>
        <v>-6597178.9126290623</v>
      </c>
      <c r="AU237" s="127">
        <f>+P237-'[6]Приложение №1'!$P241</f>
        <v>0</v>
      </c>
      <c r="AV237" s="127">
        <f>+Q237-'[6]Приложение №1'!$Q241</f>
        <v>0</v>
      </c>
      <c r="AW237" s="63">
        <f t="shared" si="76"/>
        <v>5935901.4009709377</v>
      </c>
      <c r="AX237" s="64">
        <v>5754660.8418093584</v>
      </c>
      <c r="AY237" s="64"/>
      <c r="AZ237" s="64">
        <v>0</v>
      </c>
      <c r="BA237" s="64">
        <v>0</v>
      </c>
      <c r="BB237" s="64">
        <v>0</v>
      </c>
      <c r="BC237" s="64"/>
      <c r="BD237" s="64"/>
      <c r="BE237" s="64"/>
      <c r="BF237" s="64"/>
      <c r="BG237" s="64"/>
      <c r="BH237" s="64"/>
      <c r="BI237" s="64">
        <v>0</v>
      </c>
      <c r="BJ237" s="64"/>
      <c r="BK237" s="65"/>
      <c r="BL237" s="66">
        <v>181240.55916157967</v>
      </c>
    </row>
    <row r="238" spans="1:64" x14ac:dyDescent="0.25">
      <c r="A238" s="141">
        <f t="shared" si="71"/>
        <v>220</v>
      </c>
      <c r="B238" s="142">
        <f t="shared" si="72"/>
        <v>32</v>
      </c>
      <c r="C238" s="62" t="s">
        <v>82</v>
      </c>
      <c r="D238" s="62" t="s">
        <v>1070</v>
      </c>
      <c r="E238" s="123">
        <v>1987</v>
      </c>
      <c r="F238" s="123">
        <v>2016</v>
      </c>
      <c r="G238" s="123" t="s">
        <v>43</v>
      </c>
      <c r="H238" s="123">
        <v>5</v>
      </c>
      <c r="I238" s="123">
        <v>5</v>
      </c>
      <c r="J238" s="64">
        <v>7155.6</v>
      </c>
      <c r="K238" s="64">
        <v>5789.5</v>
      </c>
      <c r="L238" s="64">
        <v>194.7</v>
      </c>
      <c r="M238" s="124">
        <v>243</v>
      </c>
      <c r="N238" s="63">
        <f t="shared" ref="N238" si="105">SUM(O238:T238)</f>
        <v>33055648.243470307</v>
      </c>
      <c r="O238" s="64"/>
      <c r="P238" s="65"/>
      <c r="Q238" s="65"/>
      <c r="R238" s="65">
        <f t="shared" si="104"/>
        <v>4304954.4000000004</v>
      </c>
      <c r="S238" s="65">
        <f>+AS238</f>
        <v>23356241.999999996</v>
      </c>
      <c r="T238" s="65">
        <f>+'Приложение №2'!E247-'Приложение №1'!P238-'Приложение №1'!R238-'Приложение №1'!S238</f>
        <v>5394451.8434703089</v>
      </c>
      <c r="U238" s="65">
        <f t="shared" ref="U238" si="106">N238/K238</f>
        <v>5709.5860166629773</v>
      </c>
      <c r="V238" s="65">
        <v>1235.2830200640001</v>
      </c>
      <c r="W238" s="126">
        <v>2023</v>
      </c>
      <c r="X238" s="127" t="e">
        <f>+#REF!-'[1]Приложение №1'!$P672</f>
        <v>#REF!</v>
      </c>
      <c r="Z238" s="63">
        <f t="shared" si="90"/>
        <v>41277450.38367226</v>
      </c>
      <c r="AA238" s="64">
        <v>11858561.038653761</v>
      </c>
      <c r="AB238" s="64">
        <v>0</v>
      </c>
      <c r="AC238" s="64">
        <v>0</v>
      </c>
      <c r="AD238" s="64">
        <v>4785667.3703647591</v>
      </c>
      <c r="AE238" s="64">
        <v>0</v>
      </c>
      <c r="AF238" s="64"/>
      <c r="AG238" s="64">
        <v>0</v>
      </c>
      <c r="AH238" s="64">
        <v>0</v>
      </c>
      <c r="AI238" s="64">
        <v>19618197.919447646</v>
      </c>
      <c r="AJ238" s="64">
        <v>0</v>
      </c>
      <c r="AK238" s="64">
        <v>0</v>
      </c>
      <c r="AL238" s="64">
        <v>0</v>
      </c>
      <c r="AM238" s="64">
        <v>3809263.7313926965</v>
      </c>
      <c r="AN238" s="65">
        <v>412774.50383672258</v>
      </c>
      <c r="AO238" s="66">
        <v>792985.81997667684</v>
      </c>
      <c r="AP238" s="128">
        <f>+N238-'Приложение №2'!E247</f>
        <v>0</v>
      </c>
      <c r="AQ238" s="38">
        <v>3643194.21</v>
      </c>
      <c r="AR238" s="25">
        <f t="shared" ref="AR238" si="107">+(K238*10.5+L238*21)*12*0.85</f>
        <v>661760.18999999994</v>
      </c>
      <c r="AS238" s="25">
        <f>+(K238*10.5+L238*21)*12*30</f>
        <v>23356241.999999996</v>
      </c>
      <c r="AT238" s="127">
        <f t="shared" si="67"/>
        <v>0</v>
      </c>
      <c r="AU238" s="127">
        <f>+P238-'[6]Приложение №1'!$P220</f>
        <v>-1428537.26925231</v>
      </c>
      <c r="AV238" s="127">
        <f>+Q238-'[6]Приложение №1'!$Q220</f>
        <v>0</v>
      </c>
      <c r="AW238" s="88">
        <f t="shared" si="76"/>
        <v>33055648.243470304</v>
      </c>
      <c r="AX238" s="64">
        <v>11858561.038653761</v>
      </c>
      <c r="AY238" s="64">
        <v>0</v>
      </c>
      <c r="AZ238" s="64">
        <v>0</v>
      </c>
      <c r="BA238" s="64"/>
      <c r="BB238" s="64">
        <v>0</v>
      </c>
      <c r="BC238" s="64"/>
      <c r="BD238" s="64">
        <v>492326.58379190101</v>
      </c>
      <c r="BE238" s="64">
        <v>0</v>
      </c>
      <c r="BF238" s="64">
        <v>19618197.919447646</v>
      </c>
      <c r="BG238" s="64"/>
      <c r="BH238" s="64">
        <v>0</v>
      </c>
      <c r="BI238" s="64">
        <v>0</v>
      </c>
      <c r="BJ238" s="64"/>
      <c r="BK238" s="65"/>
      <c r="BL238" s="66">
        <v>1086562.7015769957</v>
      </c>
    </row>
    <row r="239" spans="1:64" x14ac:dyDescent="0.25">
      <c r="A239" s="141">
        <f t="shared" si="71"/>
        <v>221</v>
      </c>
      <c r="B239" s="142">
        <f t="shared" si="72"/>
        <v>33</v>
      </c>
      <c r="C239" s="62" t="s">
        <v>82</v>
      </c>
      <c r="D239" s="62" t="s">
        <v>1071</v>
      </c>
      <c r="E239" s="123">
        <v>1988</v>
      </c>
      <c r="F239" s="123">
        <v>2016</v>
      </c>
      <c r="G239" s="123" t="s">
        <v>43</v>
      </c>
      <c r="H239" s="123">
        <v>5</v>
      </c>
      <c r="I239" s="123">
        <v>4</v>
      </c>
      <c r="J239" s="64">
        <v>5772.8</v>
      </c>
      <c r="K239" s="64">
        <v>4849.63</v>
      </c>
      <c r="L239" s="64">
        <v>82.5</v>
      </c>
      <c r="M239" s="124">
        <v>180</v>
      </c>
      <c r="N239" s="95">
        <f t="shared" si="73"/>
        <v>31127981.380000003</v>
      </c>
      <c r="O239" s="64"/>
      <c r="P239" s="65">
        <v>6870199.9500000002</v>
      </c>
      <c r="Q239" s="65"/>
      <c r="R239" s="65">
        <f t="shared" si="104"/>
        <v>2069358.8800000001</v>
      </c>
      <c r="S239" s="65">
        <f>+AS239</f>
        <v>18052668.000000004</v>
      </c>
      <c r="T239" s="65">
        <f>+'Приложение №2'!E248-'Приложение №1'!P239-'Приложение №1'!R239-'Приложение №1'!S239</f>
        <v>4135754.549999997</v>
      </c>
      <c r="U239" s="64">
        <f t="shared" si="89"/>
        <v>6311.2653924369397</v>
      </c>
      <c r="V239" s="64">
        <f t="shared" si="89"/>
        <v>6311.2653924369397</v>
      </c>
      <c r="W239" s="126">
        <v>2023</v>
      </c>
      <c r="X239" s="127" t="e">
        <f>+#REF!-'[1]Приложение №1'!$P972</f>
        <v>#REF!</v>
      </c>
      <c r="Z239" s="63">
        <f t="shared" si="90"/>
        <v>42112938.80402752</v>
      </c>
      <c r="AA239" s="64">
        <v>9562345.7271670904</v>
      </c>
      <c r="AB239" s="64">
        <v>4092895.7980599087</v>
      </c>
      <c r="AC239" s="64">
        <v>0</v>
      </c>
      <c r="AD239" s="64">
        <v>0</v>
      </c>
      <c r="AE239" s="64">
        <v>0</v>
      </c>
      <c r="AF239" s="64"/>
      <c r="AG239" s="64">
        <v>397015.54015650821</v>
      </c>
      <c r="AH239" s="64">
        <v>0</v>
      </c>
      <c r="AI239" s="64">
        <v>15819456.546057064</v>
      </c>
      <c r="AJ239" s="64">
        <v>7229112.6864668708</v>
      </c>
      <c r="AK239" s="64">
        <v>0</v>
      </c>
      <c r="AL239" s="64">
        <v>0</v>
      </c>
      <c r="AM239" s="64">
        <v>3779663.18881839</v>
      </c>
      <c r="AN239" s="65">
        <v>421129.3880402752</v>
      </c>
      <c r="AO239" s="66">
        <v>811319.92926141364</v>
      </c>
      <c r="AP239" s="128">
        <f>+N239-'Приложение №2'!E248</f>
        <v>0</v>
      </c>
      <c r="AQ239" s="23">
        <v>1557866.62</v>
      </c>
      <c r="AR239" s="25">
        <f t="shared" ref="AR239:AR244" si="108">+(K239*10+L239*20)*12*0.85</f>
        <v>511492.26000000007</v>
      </c>
      <c r="AS239" s="25">
        <f t="shared" ref="AS239:AS244" si="109">+(K239*10+L239*20)*12*30</f>
        <v>18052668.000000004</v>
      </c>
      <c r="AT239" s="127">
        <f t="shared" si="67"/>
        <v>0</v>
      </c>
      <c r="AU239" s="127">
        <f>+P239-'[6]Приложение №1'!$P242</f>
        <v>-13502050.98</v>
      </c>
      <c r="AV239" s="127">
        <f>+Q239-'[6]Приложение №1'!$Q242</f>
        <v>0</v>
      </c>
      <c r="AW239" s="63">
        <f t="shared" si="76"/>
        <v>41769554.810000002</v>
      </c>
      <c r="AX239" s="64">
        <v>10425186.939999999</v>
      </c>
      <c r="AY239" s="64">
        <v>4577737.76</v>
      </c>
      <c r="AZ239" s="64">
        <v>0</v>
      </c>
      <c r="BA239" s="64">
        <v>0</v>
      </c>
      <c r="BB239" s="64">
        <v>0</v>
      </c>
      <c r="BC239" s="64"/>
      <c r="BD239" s="64">
        <v>397015.54</v>
      </c>
      <c r="BE239" s="64">
        <v>0</v>
      </c>
      <c r="BF239" s="64">
        <v>17477225.23</v>
      </c>
      <c r="BG239" s="64">
        <v>7999958.25</v>
      </c>
      <c r="BH239" s="64">
        <v>0</v>
      </c>
      <c r="BI239" s="64">
        <v>0</v>
      </c>
      <c r="BJ239" s="64"/>
      <c r="BK239" s="65"/>
      <c r="BL239" s="66">
        <v>892431.09</v>
      </c>
    </row>
    <row r="240" spans="1:64" x14ac:dyDescent="0.25">
      <c r="A240" s="141">
        <f t="shared" si="71"/>
        <v>222</v>
      </c>
      <c r="B240" s="142">
        <f t="shared" si="72"/>
        <v>34</v>
      </c>
      <c r="C240" s="62" t="s">
        <v>82</v>
      </c>
      <c r="D240" s="62" t="s">
        <v>1072</v>
      </c>
      <c r="E240" s="123">
        <v>1993</v>
      </c>
      <c r="F240" s="123">
        <v>1993</v>
      </c>
      <c r="G240" s="123" t="s">
        <v>43</v>
      </c>
      <c r="H240" s="123">
        <v>5</v>
      </c>
      <c r="I240" s="123">
        <v>3</v>
      </c>
      <c r="J240" s="64">
        <v>2627.7</v>
      </c>
      <c r="K240" s="64">
        <v>2328</v>
      </c>
      <c r="L240" s="64">
        <v>0</v>
      </c>
      <c r="M240" s="124">
        <v>101</v>
      </c>
      <c r="N240" s="63">
        <f t="shared" si="73"/>
        <v>5241164.7990356795</v>
      </c>
      <c r="O240" s="64"/>
      <c r="P240" s="65">
        <v>2371716.86</v>
      </c>
      <c r="Q240" s="65"/>
      <c r="R240" s="65">
        <f>+'Приложение №2'!E249-'Приложение №1'!P240-'Приложение №1'!S240</f>
        <v>1749972.4090356797</v>
      </c>
      <c r="S240" s="65">
        <v>1119475.53</v>
      </c>
      <c r="T240" s="64">
        <f>+'Приложение №2'!E249-'Приложение №1'!P240-'Приложение №1'!Q240-'Приложение №1'!R240-'Приложение №1'!S240</f>
        <v>0</v>
      </c>
      <c r="U240" s="65">
        <f>$N240/($K240+$L240)</f>
        <v>2251.3594497575941</v>
      </c>
      <c r="V240" s="65">
        <f>$N240/($K240+$L240)</f>
        <v>2251.3594497575941</v>
      </c>
      <c r="W240" s="126">
        <v>2023</v>
      </c>
      <c r="X240" s="127" t="e">
        <f>+#REF!-'[1]Приложение №1'!$P979</f>
        <v>#REF!</v>
      </c>
      <c r="Z240" s="63">
        <f>SUM(AA240:AO240)</f>
        <v>2025910.3767552001</v>
      </c>
      <c r="AA240" s="64">
        <v>0</v>
      </c>
      <c r="AB240" s="64">
        <v>0</v>
      </c>
      <c r="AC240" s="64">
        <v>1764474.7462764487</v>
      </c>
      <c r="AD240" s="64">
        <v>0</v>
      </c>
      <c r="AE240" s="64">
        <v>0</v>
      </c>
      <c r="AF240" s="64"/>
      <c r="AG240" s="64">
        <v>0</v>
      </c>
      <c r="AH240" s="64">
        <v>0</v>
      </c>
      <c r="AI240" s="64">
        <v>0</v>
      </c>
      <c r="AJ240" s="64">
        <v>0</v>
      </c>
      <c r="AK240" s="64">
        <v>0</v>
      </c>
      <c r="AL240" s="64">
        <v>0</v>
      </c>
      <c r="AM240" s="64">
        <v>202591.03767552003</v>
      </c>
      <c r="AN240" s="65">
        <v>20259.103767552002</v>
      </c>
      <c r="AO240" s="66">
        <v>38585.489035679544</v>
      </c>
      <c r="AP240" s="128">
        <f>+N240-'Приложение №2'!E249</f>
        <v>0</v>
      </c>
      <c r="AQ240" s="23">
        <v>1113195.26</v>
      </c>
      <c r="AR240" s="25">
        <f>+(K240*10+L240*20)*12*0.85</f>
        <v>237456</v>
      </c>
      <c r="AS240" s="25">
        <f>+(K240*10+L240*20)*12*30</f>
        <v>8380800</v>
      </c>
      <c r="AT240" s="127">
        <f>+S240-AS240</f>
        <v>-7261324.4699999997</v>
      </c>
      <c r="AW240" s="63">
        <f t="shared" si="76"/>
        <v>5241164.7990356795</v>
      </c>
      <c r="AX240" s="64">
        <v>0</v>
      </c>
      <c r="AY240" s="64">
        <v>0</v>
      </c>
      <c r="AZ240" s="64">
        <v>917077.8</v>
      </c>
      <c r="BA240" s="64">
        <v>0</v>
      </c>
      <c r="BB240" s="64">
        <v>0</v>
      </c>
      <c r="BC240" s="64"/>
      <c r="BD240" s="64"/>
      <c r="BE240" s="64">
        <v>0</v>
      </c>
      <c r="BF240" s="64">
        <v>0</v>
      </c>
      <c r="BG240" s="64">
        <v>4285501.51</v>
      </c>
      <c r="BH240" s="64">
        <v>0</v>
      </c>
      <c r="BI240" s="64">
        <v>0</v>
      </c>
      <c r="BJ240" s="64"/>
      <c r="BK240" s="65"/>
      <c r="BL240" s="66">
        <v>38585.489035679544</v>
      </c>
    </row>
    <row r="241" spans="1:64" x14ac:dyDescent="0.25">
      <c r="A241" s="141">
        <f t="shared" si="71"/>
        <v>223</v>
      </c>
      <c r="B241" s="142">
        <f t="shared" si="72"/>
        <v>35</v>
      </c>
      <c r="C241" s="62" t="s">
        <v>82</v>
      </c>
      <c r="D241" s="62" t="s">
        <v>640</v>
      </c>
      <c r="E241" s="123">
        <v>1987</v>
      </c>
      <c r="F241" s="123">
        <v>2013</v>
      </c>
      <c r="G241" s="123" t="s">
        <v>43</v>
      </c>
      <c r="H241" s="123">
        <v>5</v>
      </c>
      <c r="I241" s="123">
        <v>6</v>
      </c>
      <c r="J241" s="64">
        <v>5156.5</v>
      </c>
      <c r="K241" s="64">
        <v>4643.1499999999996</v>
      </c>
      <c r="L241" s="64">
        <v>0</v>
      </c>
      <c r="M241" s="124">
        <v>198</v>
      </c>
      <c r="N241" s="95">
        <f t="shared" si="73"/>
        <v>18498158.429174457</v>
      </c>
      <c r="O241" s="64"/>
      <c r="P241" s="65"/>
      <c r="Q241" s="65"/>
      <c r="R241" s="65">
        <f t="shared" si="104"/>
        <v>2589978.34</v>
      </c>
      <c r="S241" s="65">
        <f>+'Приложение №2'!E250-'Приложение №1'!R241</f>
        <v>15908180.089174457</v>
      </c>
      <c r="T241" s="65">
        <v>0</v>
      </c>
      <c r="U241" s="64">
        <f t="shared" si="89"/>
        <v>3983.9674421835302</v>
      </c>
      <c r="V241" s="64">
        <f t="shared" si="89"/>
        <v>3983.9674421835302</v>
      </c>
      <c r="W241" s="126">
        <v>2023</v>
      </c>
      <c r="X241" s="127" t="e">
        <f>+#REF!-'[1]Приложение №1'!$P973</f>
        <v>#REF!</v>
      </c>
      <c r="Z241" s="63">
        <f t="shared" si="90"/>
        <v>19097413.753508817</v>
      </c>
      <c r="AA241" s="64">
        <v>9161875.3142818157</v>
      </c>
      <c r="AB241" s="64">
        <v>0</v>
      </c>
      <c r="AC241" s="64">
        <v>3500633.098855949</v>
      </c>
      <c r="AD241" s="64">
        <v>3697386.8583204113</v>
      </c>
      <c r="AE241" s="64">
        <v>0</v>
      </c>
      <c r="AF241" s="64"/>
      <c r="AG241" s="64">
        <v>380388.55533241422</v>
      </c>
      <c r="AH241" s="64">
        <v>0</v>
      </c>
      <c r="AI241" s="64">
        <v>0</v>
      </c>
      <c r="AJ241" s="64">
        <v>0</v>
      </c>
      <c r="AK241" s="64">
        <v>0</v>
      </c>
      <c r="AL241" s="64">
        <v>0</v>
      </c>
      <c r="AM241" s="64">
        <v>1800079.6866966058</v>
      </c>
      <c r="AN241" s="65">
        <v>190974.13753508814</v>
      </c>
      <c r="AO241" s="66">
        <v>366076.10248653049</v>
      </c>
      <c r="AP241" s="128">
        <f>+N241-'Приложение №2'!E250</f>
        <v>0</v>
      </c>
      <c r="AQ241" s="23">
        <v>2116377.04</v>
      </c>
      <c r="AR241" s="25">
        <f t="shared" si="108"/>
        <v>473601.3</v>
      </c>
      <c r="AS241" s="25">
        <f t="shared" si="109"/>
        <v>16715340</v>
      </c>
      <c r="AT241" s="127">
        <f t="shared" si="67"/>
        <v>-807159.91082554311</v>
      </c>
      <c r="AU241" s="127">
        <f>+P241-'[6]Приложение №1'!$P243</f>
        <v>0</v>
      </c>
      <c r="AV241" s="127">
        <f>+Q241-'[6]Приложение №1'!$Q243</f>
        <v>0</v>
      </c>
      <c r="AW241" s="63">
        <f t="shared" si="76"/>
        <v>18498158.429174457</v>
      </c>
      <c r="AX241" s="64">
        <v>9987277.6916511413</v>
      </c>
      <c r="AY241" s="64">
        <v>0</v>
      </c>
      <c r="AZ241" s="64">
        <v>3500633.098855949</v>
      </c>
      <c r="BA241" s="64">
        <v>4233998.4929506173</v>
      </c>
      <c r="BB241" s="64">
        <v>0</v>
      </c>
      <c r="BC241" s="64"/>
      <c r="BD241" s="64">
        <v>380388.55533241422</v>
      </c>
      <c r="BE241" s="64">
        <v>0</v>
      </c>
      <c r="BF241" s="64">
        <v>0</v>
      </c>
      <c r="BG241" s="64">
        <v>0</v>
      </c>
      <c r="BH241" s="64">
        <v>0</v>
      </c>
      <c r="BI241" s="64">
        <v>0</v>
      </c>
      <c r="BJ241" s="64"/>
      <c r="BK241" s="65"/>
      <c r="BL241" s="66">
        <v>395860.59038433328</v>
      </c>
    </row>
    <row r="242" spans="1:64" x14ac:dyDescent="0.25">
      <c r="A242" s="141">
        <f t="shared" si="71"/>
        <v>224</v>
      </c>
      <c r="B242" s="142">
        <f t="shared" si="72"/>
        <v>36</v>
      </c>
      <c r="C242" s="62" t="s">
        <v>82</v>
      </c>
      <c r="D242" s="62" t="s">
        <v>641</v>
      </c>
      <c r="E242" s="123">
        <v>1987</v>
      </c>
      <c r="F242" s="123">
        <v>2008</v>
      </c>
      <c r="G242" s="123" t="s">
        <v>43</v>
      </c>
      <c r="H242" s="123">
        <v>5</v>
      </c>
      <c r="I242" s="123">
        <v>6</v>
      </c>
      <c r="J242" s="64">
        <v>5142.3999999999996</v>
      </c>
      <c r="K242" s="64">
        <v>4585</v>
      </c>
      <c r="L242" s="64">
        <v>0</v>
      </c>
      <c r="M242" s="124">
        <v>184</v>
      </c>
      <c r="N242" s="95">
        <f t="shared" si="73"/>
        <v>14209680.614512641</v>
      </c>
      <c r="O242" s="64"/>
      <c r="P242" s="65"/>
      <c r="Q242" s="65"/>
      <c r="R242" s="65">
        <f t="shared" si="104"/>
        <v>2658490.19</v>
      </c>
      <c r="S242" s="65">
        <f>+'Приложение №2'!E251-'Приложение №1'!R242</f>
        <v>11551190.424512642</v>
      </c>
      <c r="T242" s="65">
        <v>0</v>
      </c>
      <c r="U242" s="64">
        <f t="shared" si="89"/>
        <v>3099.1669824455053</v>
      </c>
      <c r="V242" s="64">
        <f t="shared" si="89"/>
        <v>3099.1669824455053</v>
      </c>
      <c r="W242" s="126">
        <v>2023</v>
      </c>
      <c r="X242" s="127" t="e">
        <f>+#REF!-'[1]Приложение №1'!$P974</f>
        <v>#REF!</v>
      </c>
      <c r="Z242" s="63">
        <f t="shared" si="90"/>
        <v>18940870.804019675</v>
      </c>
      <c r="AA242" s="64">
        <v>9086774.7272043712</v>
      </c>
      <c r="AB242" s="64">
        <v>0</v>
      </c>
      <c r="AC242" s="64">
        <v>3471938.1437459388</v>
      </c>
      <c r="AD242" s="64">
        <v>3667079.0977160456</v>
      </c>
      <c r="AE242" s="64">
        <v>0</v>
      </c>
      <c r="AF242" s="64"/>
      <c r="AG242" s="64">
        <v>377270.48148366035</v>
      </c>
      <c r="AH242" s="64">
        <v>0</v>
      </c>
      <c r="AI242" s="64">
        <v>0</v>
      </c>
      <c r="AJ242" s="64">
        <v>0</v>
      </c>
      <c r="AK242" s="64">
        <v>0</v>
      </c>
      <c r="AL242" s="64">
        <v>0</v>
      </c>
      <c r="AM242" s="64">
        <v>1785324.2969298</v>
      </c>
      <c r="AN242" s="65">
        <v>189408.70804019674</v>
      </c>
      <c r="AO242" s="66">
        <v>363075.34889966319</v>
      </c>
      <c r="AP242" s="128">
        <f>+N242-'Приложение №2'!E251</f>
        <v>0</v>
      </c>
      <c r="AQ242" s="23">
        <v>2190820.19</v>
      </c>
      <c r="AR242" s="25">
        <f t="shared" si="108"/>
        <v>467670</v>
      </c>
      <c r="AS242" s="25">
        <f t="shared" si="109"/>
        <v>16506000</v>
      </c>
      <c r="AT242" s="127">
        <f t="shared" si="67"/>
        <v>-4954809.5754873585</v>
      </c>
      <c r="AU242" s="127">
        <f>+P242-'[6]Приложение №1'!$P244</f>
        <v>-10119409.619999997</v>
      </c>
      <c r="AV242" s="127">
        <f>+Q242-'[6]Приложение №1'!$Q244</f>
        <v>0</v>
      </c>
      <c r="AW242" s="63">
        <f t="shared" si="76"/>
        <v>14209680.614512641</v>
      </c>
      <c r="AX242" s="64">
        <v>9904894.5340016168</v>
      </c>
      <c r="AY242" s="64">
        <v>0</v>
      </c>
      <c r="AZ242" s="64"/>
      <c r="BA242" s="64">
        <v>3534919.74</v>
      </c>
      <c r="BB242" s="64">
        <v>0</v>
      </c>
      <c r="BC242" s="64"/>
      <c r="BD242" s="64">
        <v>377270.48148366035</v>
      </c>
      <c r="BE242" s="64">
        <v>0</v>
      </c>
      <c r="BF242" s="64">
        <v>0</v>
      </c>
      <c r="BG242" s="64">
        <v>0</v>
      </c>
      <c r="BH242" s="64">
        <v>0</v>
      </c>
      <c r="BI242" s="64">
        <v>0</v>
      </c>
      <c r="BJ242" s="64"/>
      <c r="BK242" s="65"/>
      <c r="BL242" s="66">
        <v>392595.8590273626</v>
      </c>
    </row>
    <row r="243" spans="1:64" x14ac:dyDescent="0.25">
      <c r="A243" s="141">
        <f t="shared" si="71"/>
        <v>225</v>
      </c>
      <c r="B243" s="142">
        <f t="shared" si="72"/>
        <v>37</v>
      </c>
      <c r="C243" s="62" t="s">
        <v>82</v>
      </c>
      <c r="D243" s="62" t="s">
        <v>456</v>
      </c>
      <c r="E243" s="123">
        <v>1993</v>
      </c>
      <c r="F243" s="123">
        <v>2017</v>
      </c>
      <c r="G243" s="123" t="s">
        <v>43</v>
      </c>
      <c r="H243" s="123">
        <v>9</v>
      </c>
      <c r="I243" s="123">
        <v>2</v>
      </c>
      <c r="J243" s="64">
        <v>6530.5</v>
      </c>
      <c r="K243" s="64">
        <v>5640.1</v>
      </c>
      <c r="L243" s="64">
        <v>180</v>
      </c>
      <c r="M243" s="124">
        <v>226</v>
      </c>
      <c r="N243" s="63">
        <f>SUM(O243:T243)</f>
        <v>39683829.23911643</v>
      </c>
      <c r="O243" s="64"/>
      <c r="P243" s="65"/>
      <c r="Q243" s="65"/>
      <c r="R243" s="65">
        <f>+AQ243+AR243</f>
        <v>5156055.449</v>
      </c>
      <c r="S243" s="65">
        <f>+AS243</f>
        <v>29857102.199999999</v>
      </c>
      <c r="T243" s="65">
        <f>+'Приложение №2'!E252-'Приложение №1'!P243-'Приложение №1'!R243-'Приложение №1'!S243</f>
        <v>4670671.5901164375</v>
      </c>
      <c r="U243" s="65">
        <f>N243/K243</f>
        <v>7036.0151839712817</v>
      </c>
      <c r="V243" s="65">
        <v>1237.2830200640001</v>
      </c>
      <c r="W243" s="126">
        <v>2023</v>
      </c>
      <c r="X243" s="127" t="e">
        <f>+#REF!-'[1]Приложение №1'!$P975</f>
        <v>#REF!</v>
      </c>
      <c r="Z243" s="63">
        <f>SUM(AA243:AO243)</f>
        <v>39857867.97911644</v>
      </c>
      <c r="AA243" s="64">
        <v>0</v>
      </c>
      <c r="AB243" s="64">
        <v>0</v>
      </c>
      <c r="AC243" s="64">
        <v>0</v>
      </c>
      <c r="AD243" s="64">
        <v>0</v>
      </c>
      <c r="AE243" s="64">
        <v>0</v>
      </c>
      <c r="AF243" s="64"/>
      <c r="AG243" s="64">
        <v>0</v>
      </c>
      <c r="AH243" s="64">
        <v>0</v>
      </c>
      <c r="AI243" s="64">
        <v>0</v>
      </c>
      <c r="AJ243" s="64">
        <v>0</v>
      </c>
      <c r="AK243" s="64">
        <v>38834595.293399349</v>
      </c>
      <c r="AL243" s="64">
        <v>0</v>
      </c>
      <c r="AM243" s="64">
        <v>150038.74</v>
      </c>
      <c r="AN243" s="64">
        <v>24000</v>
      </c>
      <c r="AO243" s="66">
        <v>849233.9457170919</v>
      </c>
      <c r="AP243" s="128">
        <f>+N243-'Приложение №2'!E252</f>
        <v>0</v>
      </c>
      <c r="AQ243" s="38">
        <v>4310104.22</v>
      </c>
      <c r="AR243" s="25">
        <f>+(K243*13.95+L243*23.65)*12*0.85</f>
        <v>845951.22899999993</v>
      </c>
      <c r="AS243" s="25">
        <f>+(K243*13.95+L243*23.65)*12*30</f>
        <v>29857102.199999999</v>
      </c>
      <c r="AT243" s="127">
        <f>+S243-AS243</f>
        <v>0</v>
      </c>
      <c r="AU243" s="127">
        <f>+P243-'[6]Приложение №1'!$P521</f>
        <v>-2102054.094579109</v>
      </c>
      <c r="AV243" s="127">
        <f>+Q243-'[6]Приложение №1'!$Q521</f>
        <v>0</v>
      </c>
      <c r="AW243" s="88">
        <f>SUBTOTAL(9,AX243:BL243)</f>
        <v>39683829.239116438</v>
      </c>
      <c r="AX243" s="64">
        <v>0</v>
      </c>
      <c r="AY243" s="64">
        <v>0</v>
      </c>
      <c r="AZ243" s="64">
        <v>0</v>
      </c>
      <c r="BA243" s="64">
        <v>0</v>
      </c>
      <c r="BB243" s="64">
        <v>0</v>
      </c>
      <c r="BC243" s="64"/>
      <c r="BD243" s="64"/>
      <c r="BE243" s="64">
        <v>0</v>
      </c>
      <c r="BF243" s="64">
        <v>0</v>
      </c>
      <c r="BG243" s="64">
        <v>0</v>
      </c>
      <c r="BH243" s="64">
        <v>38834595.293399349</v>
      </c>
      <c r="BI243" s="64">
        <v>0</v>
      </c>
      <c r="BJ243" s="64"/>
      <c r="BK243" s="64"/>
      <c r="BL243" s="66">
        <v>849233.9457170919</v>
      </c>
    </row>
    <row r="244" spans="1:64" x14ac:dyDescent="0.25">
      <c r="A244" s="141">
        <f t="shared" si="71"/>
        <v>226</v>
      </c>
      <c r="B244" s="142">
        <f t="shared" si="72"/>
        <v>38</v>
      </c>
      <c r="C244" s="62" t="s">
        <v>82</v>
      </c>
      <c r="D244" s="62" t="s">
        <v>338</v>
      </c>
      <c r="E244" s="123">
        <v>1988</v>
      </c>
      <c r="F244" s="123">
        <v>2008</v>
      </c>
      <c r="G244" s="123" t="s">
        <v>43</v>
      </c>
      <c r="H244" s="123">
        <v>5</v>
      </c>
      <c r="I244" s="123">
        <v>6</v>
      </c>
      <c r="J244" s="64">
        <v>5139.5</v>
      </c>
      <c r="K244" s="64">
        <v>4552.6000000000004</v>
      </c>
      <c r="L244" s="64">
        <v>68.400000000000006</v>
      </c>
      <c r="M244" s="124">
        <v>203</v>
      </c>
      <c r="N244" s="95">
        <f t="shared" si="73"/>
        <v>14941811.062059099</v>
      </c>
      <c r="O244" s="64"/>
      <c r="P244" s="65"/>
      <c r="Q244" s="65"/>
      <c r="R244" s="65">
        <f t="shared" si="104"/>
        <v>2658783.5799999996</v>
      </c>
      <c r="S244" s="65">
        <f>+'Приложение №2'!E253-'Приложение №1'!R244</f>
        <v>12283027.482059099</v>
      </c>
      <c r="T244" s="65">
        <v>0</v>
      </c>
      <c r="U244" s="64">
        <f t="shared" si="89"/>
        <v>3233.4583557799392</v>
      </c>
      <c r="V244" s="64">
        <f t="shared" si="89"/>
        <v>3233.4583557799392</v>
      </c>
      <c r="W244" s="126">
        <v>2023</v>
      </c>
      <c r="X244" s="127" t="e">
        <f>+#REF!-'[1]Приложение №1'!$P976</f>
        <v>#REF!</v>
      </c>
      <c r="Z244" s="63">
        <f t="shared" si="90"/>
        <v>19009395.423817348</v>
      </c>
      <c r="AA244" s="64">
        <v>9139483.8463669065</v>
      </c>
      <c r="AB244" s="64">
        <v>0</v>
      </c>
      <c r="AC244" s="64">
        <v>3475648.0455939346</v>
      </c>
      <c r="AD244" s="64">
        <v>3670997.5153139713</v>
      </c>
      <c r="AE244" s="64">
        <v>0</v>
      </c>
      <c r="AF244" s="64"/>
      <c r="AG244" s="64">
        <v>377673.60976489773</v>
      </c>
      <c r="AH244" s="64">
        <v>0</v>
      </c>
      <c r="AI244" s="64">
        <v>0</v>
      </c>
      <c r="AJ244" s="64">
        <v>0</v>
      </c>
      <c r="AK244" s="64">
        <v>0</v>
      </c>
      <c r="AL244" s="64">
        <v>0</v>
      </c>
      <c r="AM244" s="64">
        <v>1791094.8304623633</v>
      </c>
      <c r="AN244" s="65">
        <v>190093.95423817349</v>
      </c>
      <c r="AO244" s="66">
        <v>364403.6220770998</v>
      </c>
      <c r="AP244" s="128">
        <f>+N244-'Приложение №2'!E253</f>
        <v>0</v>
      </c>
      <c r="AQ244" s="23">
        <v>2180464.7799999998</v>
      </c>
      <c r="AR244" s="25">
        <f t="shared" si="108"/>
        <v>478318.8</v>
      </c>
      <c r="AS244" s="25">
        <f t="shared" si="109"/>
        <v>16881840</v>
      </c>
      <c r="AT244" s="127">
        <f t="shared" si="67"/>
        <v>-4598812.5179409012</v>
      </c>
      <c r="AU244" s="127">
        <f>+P244-'[6]Приложение №1'!$P245</f>
        <v>-257830.72999999998</v>
      </c>
      <c r="AV244" s="127">
        <f>+Q244-'[6]Приложение №1'!$Q245</f>
        <v>0</v>
      </c>
      <c r="AW244" s="63">
        <f t="shared" si="76"/>
        <v>14941811.062059099</v>
      </c>
      <c r="AX244" s="64">
        <v>9966368.6576054357</v>
      </c>
      <c r="AY244" s="64">
        <v>0</v>
      </c>
      <c r="AZ244" s="64"/>
      <c r="BA244" s="64">
        <v>4203635.1697849901</v>
      </c>
      <c r="BB244" s="64">
        <v>0</v>
      </c>
      <c r="BC244" s="64"/>
      <c r="BD244" s="64">
        <v>377673.60976489773</v>
      </c>
      <c r="BE244" s="64">
        <v>0</v>
      </c>
      <c r="BF244" s="64">
        <v>0</v>
      </c>
      <c r="BG244" s="64">
        <v>0</v>
      </c>
      <c r="BH244" s="64">
        <v>0</v>
      </c>
      <c r="BI244" s="64">
        <v>0</v>
      </c>
      <c r="BJ244" s="64"/>
      <c r="BK244" s="65"/>
      <c r="BL244" s="66">
        <v>394133.62490377499</v>
      </c>
    </row>
    <row r="245" spans="1:64" x14ac:dyDescent="0.25">
      <c r="A245" s="141">
        <f t="shared" si="71"/>
        <v>227</v>
      </c>
      <c r="B245" s="142">
        <f t="shared" si="72"/>
        <v>39</v>
      </c>
      <c r="C245" s="62" t="s">
        <v>82</v>
      </c>
      <c r="D245" s="62" t="s">
        <v>666</v>
      </c>
      <c r="E245" s="123">
        <v>1991</v>
      </c>
      <c r="F245" s="123">
        <v>2017</v>
      </c>
      <c r="G245" s="123" t="s">
        <v>43</v>
      </c>
      <c r="H245" s="123">
        <v>9</v>
      </c>
      <c r="I245" s="123">
        <v>1</v>
      </c>
      <c r="J245" s="64">
        <v>3222.4</v>
      </c>
      <c r="K245" s="64">
        <v>2756.2</v>
      </c>
      <c r="L245" s="64">
        <v>0</v>
      </c>
      <c r="M245" s="124">
        <v>108</v>
      </c>
      <c r="N245" s="63">
        <f>SUM(O245:T245)</f>
        <v>19753554.682315663</v>
      </c>
      <c r="O245" s="64"/>
      <c r="P245" s="65"/>
      <c r="Q245" s="65"/>
      <c r="R245" s="65">
        <f>+AQ245+AR245</f>
        <v>2573584.5079999999</v>
      </c>
      <c r="S245" s="65">
        <f>+AS245</f>
        <v>13841636.4</v>
      </c>
      <c r="T245" s="65">
        <f>+'Приложение №2'!E254-'Приложение №1'!P245-'Приложение №1'!R245-'Приложение №1'!S245</f>
        <v>3338333.7743156645</v>
      </c>
      <c r="U245" s="65">
        <f>N245/K245</f>
        <v>7166.9525732224311</v>
      </c>
      <c r="V245" s="65">
        <v>1239.2830200640001</v>
      </c>
      <c r="W245" s="126">
        <v>2023</v>
      </c>
      <c r="X245" s="127" t="e">
        <f>+#REF!-'[1]Приложение №1'!$P978</f>
        <v>#REF!</v>
      </c>
      <c r="Z245" s="63">
        <f>SUM(AA245:AO245)</f>
        <v>19471909.912315667</v>
      </c>
      <c r="AA245" s="64">
        <v>0</v>
      </c>
      <c r="AB245" s="64">
        <v>0</v>
      </c>
      <c r="AC245" s="64">
        <v>0</v>
      </c>
      <c r="AD245" s="64">
        <v>0</v>
      </c>
      <c r="AE245" s="64">
        <v>0</v>
      </c>
      <c r="AF245" s="64"/>
      <c r="AG245" s="64">
        <v>0</v>
      </c>
      <c r="AH245" s="64">
        <v>0</v>
      </c>
      <c r="AI245" s="64">
        <v>0</v>
      </c>
      <c r="AJ245" s="64">
        <v>0</v>
      </c>
      <c r="AK245" s="64">
        <v>18930963.042262111</v>
      </c>
      <c r="AL245" s="64">
        <v>0</v>
      </c>
      <c r="AM245" s="64">
        <v>102965.05</v>
      </c>
      <c r="AN245" s="64">
        <v>24000</v>
      </c>
      <c r="AO245" s="66">
        <v>413981.8200535553</v>
      </c>
      <c r="AP245" s="128">
        <f>+N245-'Приложение №2'!E254</f>
        <v>0</v>
      </c>
      <c r="AQ245" s="38">
        <v>2181404.81</v>
      </c>
      <c r="AR245" s="25">
        <f>+(K245*13.95+L245*23.65)*12*0.85</f>
        <v>392179.69799999997</v>
      </c>
      <c r="AS245" s="25">
        <f>+(K245*13.95+L245*23.65)*12*30</f>
        <v>13841636.4</v>
      </c>
      <c r="AT245" s="127">
        <f>+S245-AS245</f>
        <v>0</v>
      </c>
      <c r="AU245" s="127">
        <f>+P245-'[6]Приложение №1'!$P523</f>
        <v>-1002935.5173789167</v>
      </c>
      <c r="AV245" s="127">
        <f>+Q245-'[6]Приложение №1'!$Q523</f>
        <v>0</v>
      </c>
      <c r="AW245" s="88">
        <f>SUBTOTAL(9,AX245:BL245)</f>
        <v>19753554.682315666</v>
      </c>
      <c r="AX245" s="64">
        <v>0</v>
      </c>
      <c r="AY245" s="64">
        <v>0</v>
      </c>
      <c r="AZ245" s="64">
        <v>0</v>
      </c>
      <c r="BA245" s="64">
        <v>0</v>
      </c>
      <c r="BB245" s="64">
        <v>0</v>
      </c>
      <c r="BC245" s="64"/>
      <c r="BD245" s="64"/>
      <c r="BE245" s="64">
        <v>0</v>
      </c>
      <c r="BF245" s="64">
        <v>0</v>
      </c>
      <c r="BG245" s="64">
        <v>0</v>
      </c>
      <c r="BH245" s="64">
        <v>18930963.042262111</v>
      </c>
      <c r="BI245" s="64">
        <v>0</v>
      </c>
      <c r="BJ245" s="64">
        <v>408609.82</v>
      </c>
      <c r="BK245" s="64"/>
      <c r="BL245" s="66">
        <v>413981.8200535553</v>
      </c>
    </row>
    <row r="246" spans="1:64" x14ac:dyDescent="0.25">
      <c r="A246" s="141">
        <f t="shared" si="71"/>
        <v>228</v>
      </c>
      <c r="B246" s="142">
        <f t="shared" si="72"/>
        <v>40</v>
      </c>
      <c r="C246" s="62" t="s">
        <v>82</v>
      </c>
      <c r="D246" s="62" t="s">
        <v>342</v>
      </c>
      <c r="E246" s="123">
        <v>1991</v>
      </c>
      <c r="F246" s="123">
        <v>2017</v>
      </c>
      <c r="G246" s="123" t="s">
        <v>43</v>
      </c>
      <c r="H246" s="123">
        <v>9</v>
      </c>
      <c r="I246" s="123">
        <v>1</v>
      </c>
      <c r="J246" s="64">
        <v>3271</v>
      </c>
      <c r="K246" s="64">
        <v>2814.6</v>
      </c>
      <c r="L246" s="64">
        <v>0</v>
      </c>
      <c r="M246" s="124">
        <v>93</v>
      </c>
      <c r="N246" s="63">
        <f>SUM(O246:T246)</f>
        <v>9825604.9005436506</v>
      </c>
      <c r="O246" s="64"/>
      <c r="P246" s="65"/>
      <c r="Q246" s="65"/>
      <c r="R246" s="65">
        <f>+AQ246+AR246</f>
        <v>2637621.8539999998</v>
      </c>
      <c r="S246" s="65">
        <f>+'Приложение №2'!E255-'Приложение №1'!R246</f>
        <v>7187983.0465436503</v>
      </c>
      <c r="T246" s="65">
        <v>0</v>
      </c>
      <c r="U246" s="65">
        <f>N246/K246</f>
        <v>3490.9418391756026</v>
      </c>
      <c r="V246" s="65">
        <v>1243.2830200640001</v>
      </c>
      <c r="W246" s="126">
        <v>2023</v>
      </c>
      <c r="X246" s="127" t="e">
        <f>+#REF!-'[1]Приложение №1'!$P980</f>
        <v>#REF!</v>
      </c>
      <c r="Z246" s="63">
        <f>SUM(AA246:AO246)</f>
        <v>12536948.214155663</v>
      </c>
      <c r="AA246" s="64">
        <v>6765674.3157313084</v>
      </c>
      <c r="AB246" s="64">
        <v>2706914.9973932039</v>
      </c>
      <c r="AC246" s="64">
        <v>0</v>
      </c>
      <c r="AD246" s="64">
        <v>1277658.2356249997</v>
      </c>
      <c r="AE246" s="64">
        <v>0</v>
      </c>
      <c r="AF246" s="64"/>
      <c r="AG246" s="64">
        <v>300589.46674277715</v>
      </c>
      <c r="AH246" s="64">
        <v>0</v>
      </c>
      <c r="AI246" s="64">
        <v>0</v>
      </c>
      <c r="AJ246" s="64">
        <v>0</v>
      </c>
      <c r="AK246" s="64">
        <v>0</v>
      </c>
      <c r="AL246" s="64">
        <v>0</v>
      </c>
      <c r="AM246" s="64">
        <v>1119082.2927209453</v>
      </c>
      <c r="AN246" s="65">
        <v>125369.48214155665</v>
      </c>
      <c r="AO246" s="66">
        <v>241659.42380087369</v>
      </c>
      <c r="AP246" s="128">
        <f>+N246-'Приложение №2'!E255</f>
        <v>0</v>
      </c>
      <c r="AQ246" s="38">
        <v>2237132.42</v>
      </c>
      <c r="AR246" s="25">
        <f>+(K246*13.95+L246*23.65)*12*0.85</f>
        <v>400489.43399999995</v>
      </c>
      <c r="AS246" s="25">
        <f>+(K246*13.95+L246*23.65)*12*30</f>
        <v>14134921.199999999</v>
      </c>
      <c r="AT246" s="127">
        <f>+S246-AS246</f>
        <v>-6946938.1534563489</v>
      </c>
      <c r="AU246" s="127">
        <f>+P246-'[6]Приложение №1'!$P526</f>
        <v>0</v>
      </c>
      <c r="AV246" s="127">
        <f>+Q246-'[6]Приложение №1'!$Q526</f>
        <v>0</v>
      </c>
      <c r="AW246" s="88">
        <f>SUBTOTAL(9,AX246:BL246)</f>
        <v>9825604.9005436506</v>
      </c>
      <c r="AX246" s="64">
        <v>4922338.54</v>
      </c>
      <c r="AY246" s="64">
        <v>2955743</v>
      </c>
      <c r="AZ246" s="64">
        <v>0</v>
      </c>
      <c r="BA246" s="64">
        <v>1405274.47</v>
      </c>
      <c r="BB246" s="64">
        <v>0</v>
      </c>
      <c r="BC246" s="64"/>
      <c r="BD246" s="64">
        <v>300589.46674277715</v>
      </c>
      <c r="BE246" s="64">
        <v>0</v>
      </c>
      <c r="BF246" s="64">
        <v>0</v>
      </c>
      <c r="BG246" s="64">
        <v>0</v>
      </c>
      <c r="BH246" s="64">
        <v>0</v>
      </c>
      <c r="BI246" s="64">
        <v>0</v>
      </c>
      <c r="BJ246" s="64"/>
      <c r="BK246" s="65"/>
      <c r="BL246" s="66">
        <v>241659.42380087369</v>
      </c>
    </row>
    <row r="247" spans="1:64" x14ac:dyDescent="0.25">
      <c r="A247" s="141">
        <f t="shared" si="71"/>
        <v>229</v>
      </c>
      <c r="B247" s="142">
        <f t="shared" si="72"/>
        <v>41</v>
      </c>
      <c r="C247" s="62" t="s">
        <v>82</v>
      </c>
      <c r="D247" s="62" t="s">
        <v>643</v>
      </c>
      <c r="E247" s="123">
        <v>1991</v>
      </c>
      <c r="F247" s="123">
        <v>2009</v>
      </c>
      <c r="G247" s="123" t="s">
        <v>43</v>
      </c>
      <c r="H247" s="123">
        <v>5</v>
      </c>
      <c r="I247" s="123">
        <v>2</v>
      </c>
      <c r="J247" s="64">
        <v>3315.2</v>
      </c>
      <c r="K247" s="64">
        <v>2614.6999999999998</v>
      </c>
      <c r="L247" s="64">
        <v>667.8</v>
      </c>
      <c r="M247" s="124">
        <v>88</v>
      </c>
      <c r="N247" s="63">
        <f t="shared" si="73"/>
        <v>3390121.8293774603</v>
      </c>
      <c r="O247" s="64"/>
      <c r="P247" s="65"/>
      <c r="Q247" s="65"/>
      <c r="R247" s="65">
        <f>+AQ247+AR247</f>
        <v>1774505.62</v>
      </c>
      <c r="S247" s="65">
        <f>+'Приложение №2'!E256-'Приложение №1'!R247</f>
        <v>1615616.2093774602</v>
      </c>
      <c r="T247" s="64">
        <f>+'Приложение №2'!E256-'Приложение №1'!P247-'Приложение №1'!Q247-'Приложение №1'!R247-'Приложение №1'!S247</f>
        <v>0</v>
      </c>
      <c r="U247" s="65">
        <f>$N247/($K247+$L247)</f>
        <v>1032.7865436031866</v>
      </c>
      <c r="V247" s="65">
        <f>$N247/($K247+$L247)</f>
        <v>1032.7865436031866</v>
      </c>
      <c r="W247" s="126">
        <v>2023</v>
      </c>
      <c r="X247" s="127" t="e">
        <f>+#REF!-'[1]Приложение №1'!$P982</f>
        <v>#REF!</v>
      </c>
      <c r="Z247" s="63">
        <f>SUM(AA247:AO247)</f>
        <v>5124059.0709295115</v>
      </c>
      <c r="AA247" s="64">
        <v>0</v>
      </c>
      <c r="AB247" s="64">
        <v>0</v>
      </c>
      <c r="AC247" s="64">
        <v>2132209.3029237217</v>
      </c>
      <c r="AD247" s="64">
        <v>2252050.5386283286</v>
      </c>
      <c r="AE247" s="64">
        <v>0</v>
      </c>
      <c r="AF247" s="64"/>
      <c r="AG247" s="64">
        <v>0</v>
      </c>
      <c r="AH247" s="64">
        <v>0</v>
      </c>
      <c r="AI247" s="64">
        <v>0</v>
      </c>
      <c r="AJ247" s="64">
        <v>0</v>
      </c>
      <c r="AK247" s="64">
        <v>0</v>
      </c>
      <c r="AL247" s="64">
        <v>0</v>
      </c>
      <c r="AM247" s="64">
        <v>592683.75556044606</v>
      </c>
      <c r="AN247" s="65">
        <v>51240.590709295109</v>
      </c>
      <c r="AO247" s="66">
        <v>95874.88310771907</v>
      </c>
      <c r="AP247" s="128">
        <f>+N247-'Приложение №2'!E256</f>
        <v>0</v>
      </c>
      <c r="AQ247" s="23">
        <v>1371575.02</v>
      </c>
      <c r="AR247" s="25">
        <f>+(K247*10+L247*20)*12*0.85</f>
        <v>402930.6</v>
      </c>
      <c r="AS247" s="25">
        <f>+(K247*10+L247*20)*12*30</f>
        <v>14221080</v>
      </c>
      <c r="AT247" s="127">
        <f>+S247-AS247</f>
        <v>-12605463.79062254</v>
      </c>
      <c r="AW247" s="63">
        <f t="shared" si="76"/>
        <v>3390121.8293774603</v>
      </c>
      <c r="AX247" s="64">
        <v>0</v>
      </c>
      <c r="AY247" s="64">
        <v>0</v>
      </c>
      <c r="AZ247" s="64">
        <v>927231.11</v>
      </c>
      <c r="BA247" s="64">
        <v>1740087.49</v>
      </c>
      <c r="BB247" s="64">
        <v>0</v>
      </c>
      <c r="BC247" s="64"/>
      <c r="BD247" s="64"/>
      <c r="BE247" s="64">
        <v>0</v>
      </c>
      <c r="BF247" s="64">
        <v>0</v>
      </c>
      <c r="BG247" s="64">
        <v>0</v>
      </c>
      <c r="BH247" s="64">
        <v>0</v>
      </c>
      <c r="BI247" s="64">
        <v>0</v>
      </c>
      <c r="BJ247" s="64">
        <v>575687.75556044595</v>
      </c>
      <c r="BK247" s="65">
        <v>51240.590709295109</v>
      </c>
      <c r="BL247" s="66">
        <v>95874.88310771907</v>
      </c>
    </row>
    <row r="248" spans="1:64" x14ac:dyDescent="0.25">
      <c r="A248" s="141">
        <f t="shared" si="71"/>
        <v>230</v>
      </c>
      <c r="B248" s="142">
        <f t="shared" si="72"/>
        <v>42</v>
      </c>
      <c r="C248" s="62" t="s">
        <v>83</v>
      </c>
      <c r="D248" s="62" t="s">
        <v>1010</v>
      </c>
      <c r="E248" s="123">
        <v>1995</v>
      </c>
      <c r="F248" s="123">
        <v>2007</v>
      </c>
      <c r="G248" s="123" t="s">
        <v>43</v>
      </c>
      <c r="H248" s="123">
        <v>9</v>
      </c>
      <c r="I248" s="123">
        <v>3</v>
      </c>
      <c r="J248" s="64">
        <v>8715.5</v>
      </c>
      <c r="K248" s="64">
        <v>7251.1</v>
      </c>
      <c r="L248" s="64">
        <v>660.9</v>
      </c>
      <c r="M248" s="124">
        <v>283</v>
      </c>
      <c r="N248" s="63">
        <f t="shared" si="73"/>
        <v>17694269.120000001</v>
      </c>
      <c r="O248" s="64"/>
      <c r="P248" s="65">
        <v>16600042.59</v>
      </c>
      <c r="Q248" s="69"/>
      <c r="R248" s="69">
        <v>1094226.53</v>
      </c>
      <c r="S248" s="65"/>
      <c r="T248" s="64"/>
      <c r="U248" s="65">
        <f t="shared" ref="U248:V269" si="110">$N248/($K248+$L248)</f>
        <v>2236.3838624873611</v>
      </c>
      <c r="V248" s="65">
        <f t="shared" si="110"/>
        <v>2236.3838624873611</v>
      </c>
      <c r="W248" s="126">
        <v>2023</v>
      </c>
      <c r="X248" s="127" t="e">
        <f>+#REF!-'[1]Приложение №1'!#REF!</f>
        <v>#REF!</v>
      </c>
      <c r="Z248" s="63">
        <f t="shared" ref="Z248:Z281" si="111">SUM(AA248:AO248)</f>
        <v>47583718.340731375</v>
      </c>
      <c r="AA248" s="64">
        <v>17694269.116222665</v>
      </c>
      <c r="AB248" s="64">
        <v>7079395.2241015183</v>
      </c>
      <c r="AC248" s="64">
        <v>5228826.4103661133</v>
      </c>
      <c r="AD248" s="64">
        <v>3341459.7872589645</v>
      </c>
      <c r="AE248" s="64">
        <v>0</v>
      </c>
      <c r="AF248" s="64"/>
      <c r="AG248" s="64">
        <v>786131.68027933023</v>
      </c>
      <c r="AH248" s="64">
        <v>0</v>
      </c>
      <c r="AI248" s="64">
        <v>7743707.0462670354</v>
      </c>
      <c r="AJ248" s="64">
        <v>0</v>
      </c>
      <c r="AK248" s="64">
        <v>0</v>
      </c>
      <c r="AL248" s="64">
        <v>0</v>
      </c>
      <c r="AM248" s="64">
        <v>4318396.9303716524</v>
      </c>
      <c r="AN248" s="65">
        <v>475837.18340731377</v>
      </c>
      <c r="AO248" s="66">
        <v>915694.96245678177</v>
      </c>
      <c r="AP248" s="128">
        <f>+N248-'Приложение №2'!E257</f>
        <v>0</v>
      </c>
      <c r="AR248" s="25">
        <f>+(K248*13.29+L248*22.52)*12*0.85</f>
        <v>1134755.9873999998</v>
      </c>
      <c r="AS248" s="25">
        <f>+(K248*13.29+L248*22.52)*12*30</f>
        <v>40050211.319999993</v>
      </c>
      <c r="AT248" s="127">
        <f t="shared" si="67"/>
        <v>-40050211.319999993</v>
      </c>
      <c r="AU248" s="127">
        <f>+P248-'[6]Приложение №1'!$P248</f>
        <v>0</v>
      </c>
      <c r="AV248" s="127">
        <f>+Q248-'[6]Приложение №1'!$Q248</f>
        <v>0</v>
      </c>
      <c r="AW248" s="63">
        <f t="shared" si="76"/>
        <v>17694269.120000001</v>
      </c>
      <c r="AX248" s="64">
        <v>17694269.120000001</v>
      </c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5"/>
      <c r="BL248" s="66"/>
    </row>
    <row r="249" spans="1:64" x14ac:dyDescent="0.25">
      <c r="A249" s="141">
        <f t="shared" si="71"/>
        <v>231</v>
      </c>
      <c r="B249" s="142">
        <f t="shared" si="72"/>
        <v>43</v>
      </c>
      <c r="C249" s="62" t="s">
        <v>71</v>
      </c>
      <c r="D249" s="62" t="s">
        <v>622</v>
      </c>
      <c r="E249" s="123">
        <v>1997</v>
      </c>
      <c r="F249" s="123">
        <v>2013</v>
      </c>
      <c r="G249" s="123" t="s">
        <v>43</v>
      </c>
      <c r="H249" s="123">
        <v>3</v>
      </c>
      <c r="I249" s="123">
        <v>2</v>
      </c>
      <c r="J249" s="64">
        <v>1304.7</v>
      </c>
      <c r="K249" s="64">
        <v>938.6</v>
      </c>
      <c r="L249" s="64">
        <v>0</v>
      </c>
      <c r="M249" s="124">
        <v>33</v>
      </c>
      <c r="N249" s="95">
        <f t="shared" si="73"/>
        <v>9483523.7207000013</v>
      </c>
      <c r="O249" s="64"/>
      <c r="P249" s="65">
        <v>2237553.1866666698</v>
      </c>
      <c r="Q249" s="65"/>
      <c r="R249" s="65">
        <f>+AQ249+AR249</f>
        <v>561433.66999999993</v>
      </c>
      <c r="S249" s="65">
        <f>+AS249</f>
        <v>3378960</v>
      </c>
      <c r="T249" s="65">
        <f>+'Приложение №2'!E258-'Приложение №1'!P249-'Приложение №1'!R249-'Приложение №1'!S249</f>
        <v>3305576.8640333321</v>
      </c>
      <c r="U249" s="64">
        <f t="shared" si="110"/>
        <v>10103.90338877051</v>
      </c>
      <c r="V249" s="64">
        <f t="shared" si="110"/>
        <v>10103.90338877051</v>
      </c>
      <c r="W249" s="126">
        <v>2023</v>
      </c>
      <c r="X249" s="127" t="e">
        <f>+#REF!-'[1]Приложение №1'!$P1314</f>
        <v>#REF!</v>
      </c>
      <c r="Z249" s="63">
        <f t="shared" si="111"/>
        <v>10655644.630000001</v>
      </c>
      <c r="AA249" s="64">
        <v>0</v>
      </c>
      <c r="AB249" s="64">
        <v>0</v>
      </c>
      <c r="AC249" s="64">
        <v>0</v>
      </c>
      <c r="AD249" s="64">
        <v>0</v>
      </c>
      <c r="AE249" s="64">
        <v>0</v>
      </c>
      <c r="AF249" s="64"/>
      <c r="AG249" s="64">
        <v>0</v>
      </c>
      <c r="AH249" s="64">
        <v>0</v>
      </c>
      <c r="AI249" s="64">
        <v>0</v>
      </c>
      <c r="AJ249" s="64">
        <v>0</v>
      </c>
      <c r="AK249" s="64">
        <v>9280576.3130770214</v>
      </c>
      <c r="AL249" s="64">
        <v>0</v>
      </c>
      <c r="AM249" s="64">
        <v>1065564.4630000002</v>
      </c>
      <c r="AN249" s="65">
        <v>106556.44630000001</v>
      </c>
      <c r="AO249" s="66">
        <v>202947.40762298004</v>
      </c>
      <c r="AP249" s="128">
        <f>+N249-'Приложение №2'!E258</f>
        <v>0</v>
      </c>
      <c r="AQ249" s="23">
        <v>465696.47</v>
      </c>
      <c r="AR249" s="25">
        <f>+(K249*10+L249*20)*12*0.85</f>
        <v>95737.2</v>
      </c>
      <c r="AS249" s="25">
        <f>+(K249*10+L249*20)*12*30</f>
        <v>3378960</v>
      </c>
      <c r="AT249" s="127">
        <f t="shared" si="67"/>
        <v>0</v>
      </c>
      <c r="AU249" s="127">
        <f>+P249-'[6]Приложение №1'!$P249</f>
        <v>0</v>
      </c>
      <c r="AV249" s="127">
        <f>+Q249-'[6]Приложение №1'!$Q249</f>
        <v>0</v>
      </c>
      <c r="AW249" s="63">
        <f t="shared" si="76"/>
        <v>9483523.7207000013</v>
      </c>
      <c r="AX249" s="64">
        <v>0</v>
      </c>
      <c r="AY249" s="64">
        <v>0</v>
      </c>
      <c r="AZ249" s="64">
        <v>0</v>
      </c>
      <c r="BA249" s="64">
        <v>0</v>
      </c>
      <c r="BB249" s="64">
        <v>0</v>
      </c>
      <c r="BC249" s="64"/>
      <c r="BD249" s="64"/>
      <c r="BE249" s="64">
        <v>0</v>
      </c>
      <c r="BF249" s="64">
        <v>0</v>
      </c>
      <c r="BG249" s="64">
        <v>0</v>
      </c>
      <c r="BH249" s="64">
        <v>9280576.3130770214</v>
      </c>
      <c r="BI249" s="64">
        <v>0</v>
      </c>
      <c r="BJ249" s="64"/>
      <c r="BK249" s="65"/>
      <c r="BL249" s="66">
        <v>202947.40762298004</v>
      </c>
    </row>
    <row r="250" spans="1:64" x14ac:dyDescent="0.25">
      <c r="A250" s="141">
        <f t="shared" si="71"/>
        <v>232</v>
      </c>
      <c r="B250" s="142">
        <f t="shared" si="72"/>
        <v>44</v>
      </c>
      <c r="C250" s="62" t="s">
        <v>71</v>
      </c>
      <c r="D250" s="62" t="s">
        <v>619</v>
      </c>
      <c r="E250" s="123">
        <v>1995</v>
      </c>
      <c r="F250" s="123">
        <v>2013</v>
      </c>
      <c r="G250" s="123" t="s">
        <v>43</v>
      </c>
      <c r="H250" s="123">
        <v>3</v>
      </c>
      <c r="I250" s="123">
        <v>4</v>
      </c>
      <c r="J250" s="64">
        <v>2740.5</v>
      </c>
      <c r="K250" s="64">
        <v>1849.2</v>
      </c>
      <c r="L250" s="64">
        <v>0</v>
      </c>
      <c r="M250" s="124">
        <v>67</v>
      </c>
      <c r="N250" s="95">
        <f t="shared" si="73"/>
        <v>18608626.178600002</v>
      </c>
      <c r="O250" s="64"/>
      <c r="P250" s="65">
        <v>906857.51333330001</v>
      </c>
      <c r="Q250" s="65"/>
      <c r="R250" s="65">
        <f>+AR250</f>
        <v>188618.4</v>
      </c>
      <c r="S250" s="65">
        <f>+AS250</f>
        <v>1070733.2310399991</v>
      </c>
      <c r="T250" s="65">
        <f>+'Приложение №2'!E259-'Приложение №1'!P250-'Приложение №1'!R250-'Приложение №1'!S250</f>
        <v>16442417.034226703</v>
      </c>
      <c r="U250" s="64">
        <f t="shared" si="110"/>
        <v>10063.068450465067</v>
      </c>
      <c r="V250" s="64">
        <f t="shared" si="110"/>
        <v>10063.068450465067</v>
      </c>
      <c r="W250" s="126">
        <v>2023</v>
      </c>
      <c r="X250" s="127" t="e">
        <f>+#REF!-'[1]Приложение №1'!$P1315</f>
        <v>#REF!</v>
      </c>
      <c r="Z250" s="63">
        <f t="shared" si="111"/>
        <v>20908568.739999998</v>
      </c>
      <c r="AA250" s="64">
        <v>0</v>
      </c>
      <c r="AB250" s="64">
        <v>0</v>
      </c>
      <c r="AC250" s="64">
        <v>0</v>
      </c>
      <c r="AD250" s="64">
        <v>0</v>
      </c>
      <c r="AE250" s="64">
        <v>0</v>
      </c>
      <c r="AF250" s="64"/>
      <c r="AG250" s="64">
        <v>0</v>
      </c>
      <c r="AH250" s="64">
        <v>0</v>
      </c>
      <c r="AI250" s="64">
        <v>0</v>
      </c>
      <c r="AJ250" s="64">
        <v>0</v>
      </c>
      <c r="AK250" s="64">
        <v>18210401.578377958</v>
      </c>
      <c r="AL250" s="64">
        <v>0</v>
      </c>
      <c r="AM250" s="64">
        <v>2090856.8739999998</v>
      </c>
      <c r="AN250" s="65">
        <v>209085.6874</v>
      </c>
      <c r="AO250" s="66">
        <v>398224.60022203997</v>
      </c>
      <c r="AP250" s="128">
        <f>+N250-'Приложение №2'!E259</f>
        <v>0</v>
      </c>
      <c r="AQ250" s="23">
        <v>908516.69</v>
      </c>
      <c r="AR250" s="25">
        <f>+(K250*10+L250*20)*12*0.85</f>
        <v>188618.4</v>
      </c>
      <c r="AS250" s="25">
        <f>+(K250*10+L250*20)*12*30-S21</f>
        <v>1070733.2310399991</v>
      </c>
      <c r="AT250" s="127">
        <f t="shared" si="67"/>
        <v>0</v>
      </c>
      <c r="AU250" s="127">
        <f>+P250-'[6]Приложение №1'!$P250</f>
        <v>0</v>
      </c>
      <c r="AV250" s="127">
        <f>+Q250-'[6]Приложение №1'!$Q250</f>
        <v>0</v>
      </c>
      <c r="AW250" s="63">
        <f t="shared" si="76"/>
        <v>18608626.178599998</v>
      </c>
      <c r="AX250" s="64">
        <v>0</v>
      </c>
      <c r="AY250" s="64">
        <v>0</v>
      </c>
      <c r="AZ250" s="64">
        <v>0</v>
      </c>
      <c r="BA250" s="64">
        <v>0</v>
      </c>
      <c r="BB250" s="64">
        <v>0</v>
      </c>
      <c r="BC250" s="64"/>
      <c r="BD250" s="64"/>
      <c r="BE250" s="64">
        <v>0</v>
      </c>
      <c r="BF250" s="64">
        <v>0</v>
      </c>
      <c r="BG250" s="64">
        <v>0</v>
      </c>
      <c r="BH250" s="64">
        <v>18210401.578377958</v>
      </c>
      <c r="BI250" s="64">
        <v>0</v>
      </c>
      <c r="BJ250" s="64"/>
      <c r="BK250" s="65"/>
      <c r="BL250" s="66">
        <v>398224.60022203997</v>
      </c>
    </row>
    <row r="251" spans="1:64" x14ac:dyDescent="0.25">
      <c r="A251" s="141">
        <f t="shared" si="71"/>
        <v>233</v>
      </c>
      <c r="B251" s="142">
        <f t="shared" si="72"/>
        <v>45</v>
      </c>
      <c r="C251" s="62" t="s">
        <v>82</v>
      </c>
      <c r="D251" s="62" t="s">
        <v>1008</v>
      </c>
      <c r="E251" s="123">
        <v>1986</v>
      </c>
      <c r="F251" s="123">
        <v>2013</v>
      </c>
      <c r="G251" s="123" t="s">
        <v>43</v>
      </c>
      <c r="H251" s="123">
        <v>5</v>
      </c>
      <c r="I251" s="123">
        <v>3</v>
      </c>
      <c r="J251" s="64">
        <v>4428.3999999999996</v>
      </c>
      <c r="K251" s="64">
        <v>3725.8</v>
      </c>
      <c r="L251" s="64">
        <v>0</v>
      </c>
      <c r="M251" s="124">
        <v>153</v>
      </c>
      <c r="N251" s="63">
        <f t="shared" si="73"/>
        <v>1185276.1114287239</v>
      </c>
      <c r="O251" s="64"/>
      <c r="P251" s="65"/>
      <c r="Q251" s="65"/>
      <c r="R251" s="65"/>
      <c r="S251" s="65">
        <f>+'Приложение №2'!E260-'Приложение №1'!P251-'Приложение №1'!R251</f>
        <v>1185276.1114287239</v>
      </c>
      <c r="T251" s="64">
        <f>+'Приложение №2'!E260-'Приложение №1'!P251-'Приложение №1'!Q251-'Приложение №1'!R251-'Приложение №1'!S251</f>
        <v>0</v>
      </c>
      <c r="U251" s="65">
        <f t="shared" si="110"/>
        <v>318.12660674988564</v>
      </c>
      <c r="V251" s="65">
        <f t="shared" si="110"/>
        <v>318.12660674988564</v>
      </c>
      <c r="W251" s="126">
        <v>2023</v>
      </c>
      <c r="X251" s="127" t="e">
        <f>+#REF!-'[1]Приложение №1'!$P1564</f>
        <v>#REF!</v>
      </c>
      <c r="Z251" s="63">
        <f t="shared" ref="Z251" si="112">SUM(AA251:AO251)</f>
        <v>12150273.237424361</v>
      </c>
      <c r="AA251" s="64">
        <v>7382843.4652546057</v>
      </c>
      <c r="AB251" s="64">
        <v>0</v>
      </c>
      <c r="AC251" s="64">
        <v>0</v>
      </c>
      <c r="AD251" s="64">
        <v>2979436.7931330968</v>
      </c>
      <c r="AE251" s="64">
        <v>0</v>
      </c>
      <c r="AF251" s="64"/>
      <c r="AG251" s="64">
        <v>306525.58168040245</v>
      </c>
      <c r="AH251" s="64">
        <v>0</v>
      </c>
      <c r="AI251" s="64">
        <v>0</v>
      </c>
      <c r="AJ251" s="64">
        <v>0</v>
      </c>
      <c r="AK251" s="64">
        <v>0</v>
      </c>
      <c r="AL251" s="64">
        <v>0</v>
      </c>
      <c r="AM251" s="64">
        <v>1126659.4892437549</v>
      </c>
      <c r="AN251" s="65">
        <v>121502.73237424361</v>
      </c>
      <c r="AO251" s="66">
        <v>233305.17573825616</v>
      </c>
      <c r="AP251" s="128">
        <f>+N251-'Приложение №2'!E260</f>
        <v>0</v>
      </c>
      <c r="AQ251" s="127">
        <f>1864228.53-R45</f>
        <v>-380031.59999999986</v>
      </c>
      <c r="AR251" s="25">
        <f t="shared" ref="AR251" si="113">+(K251*10+L251*20)*12*0.85</f>
        <v>380031.6</v>
      </c>
      <c r="AS251" s="25">
        <f>+(K251*10+L251*20)*12*30-S45</f>
        <v>10354704.498571277</v>
      </c>
      <c r="AT251" s="127">
        <f t="shared" si="67"/>
        <v>-9169428.3871425521</v>
      </c>
      <c r="AW251" s="63">
        <f t="shared" si="76"/>
        <v>1185276.1114287239</v>
      </c>
      <c r="AX251" s="64"/>
      <c r="AY251" s="64">
        <v>0</v>
      </c>
      <c r="AZ251" s="64">
        <v>0</v>
      </c>
      <c r="BA251" s="64">
        <v>998067.65</v>
      </c>
      <c r="BB251" s="64">
        <v>0</v>
      </c>
      <c r="BC251" s="64"/>
      <c r="BD251" s="64"/>
      <c r="BE251" s="64">
        <v>0</v>
      </c>
      <c r="BF251" s="64">
        <v>0</v>
      </c>
      <c r="BG251" s="64"/>
      <c r="BH251" s="64">
        <v>0</v>
      </c>
      <c r="BI251" s="64">
        <v>0</v>
      </c>
      <c r="BJ251" s="64"/>
      <c r="BK251" s="65"/>
      <c r="BL251" s="66">
        <v>187208.46142872394</v>
      </c>
    </row>
    <row r="252" spans="1:64" x14ac:dyDescent="0.25">
      <c r="A252" s="141">
        <f t="shared" si="71"/>
        <v>234</v>
      </c>
      <c r="B252" s="142">
        <f t="shared" si="72"/>
        <v>46</v>
      </c>
      <c r="C252" s="62" t="s">
        <v>82</v>
      </c>
      <c r="D252" s="62" t="s">
        <v>648</v>
      </c>
      <c r="E252" s="123">
        <v>1982</v>
      </c>
      <c r="F252" s="123">
        <v>2008</v>
      </c>
      <c r="G252" s="123" t="s">
        <v>43</v>
      </c>
      <c r="H252" s="123">
        <v>5</v>
      </c>
      <c r="I252" s="123">
        <v>7</v>
      </c>
      <c r="J252" s="64">
        <v>6399.1</v>
      </c>
      <c r="K252" s="64">
        <v>4849.8999999999996</v>
      </c>
      <c r="L252" s="64">
        <v>814.5</v>
      </c>
      <c r="M252" s="124">
        <v>218</v>
      </c>
      <c r="N252" s="95">
        <f t="shared" si="73"/>
        <v>11922906.7811273</v>
      </c>
      <c r="O252" s="64"/>
      <c r="P252" s="65"/>
      <c r="Q252" s="65"/>
      <c r="R252" s="65">
        <f t="shared" ref="R252:R253" si="114">+AQ252+AR252</f>
        <v>2890759.6999999997</v>
      </c>
      <c r="S252" s="65">
        <f>+'Приложение №2'!E261-'Приложение №1'!R252</f>
        <v>9032147.0811273009</v>
      </c>
      <c r="T252" s="65">
        <v>0</v>
      </c>
      <c r="U252" s="64">
        <f t="shared" si="110"/>
        <v>2104.8843268708601</v>
      </c>
      <c r="V252" s="64">
        <f t="shared" si="110"/>
        <v>2104.8843268708601</v>
      </c>
      <c r="W252" s="126">
        <v>2023</v>
      </c>
      <c r="X252" s="127" t="e">
        <f>+#REF!-'[1]Приложение №1'!$P1355</f>
        <v>#REF!</v>
      </c>
      <c r="Z252" s="63">
        <f t="shared" si="111"/>
        <v>16411893.353984796</v>
      </c>
      <c r="AA252" s="64">
        <v>10225965.426698405</v>
      </c>
      <c r="AB252" s="64">
        <v>0</v>
      </c>
      <c r="AC252" s="64">
        <v>3907208.0564832622</v>
      </c>
      <c r="AD252" s="64">
        <v>0</v>
      </c>
      <c r="AE252" s="64">
        <v>0</v>
      </c>
      <c r="AF252" s="64"/>
      <c r="AG252" s="64">
        <v>424568.12411291135</v>
      </c>
      <c r="AH252" s="64">
        <v>0</v>
      </c>
      <c r="AI252" s="64">
        <v>0</v>
      </c>
      <c r="AJ252" s="64">
        <v>0</v>
      </c>
      <c r="AK252" s="64">
        <v>0</v>
      </c>
      <c r="AL252" s="64">
        <v>0</v>
      </c>
      <c r="AM252" s="64">
        <v>1371684.4886090811</v>
      </c>
      <c r="AN252" s="65">
        <v>164118.93353984796</v>
      </c>
      <c r="AO252" s="66">
        <v>318348.32454128755</v>
      </c>
      <c r="AP252" s="128">
        <f>+N252-'Приложение №2'!E261</f>
        <v>0</v>
      </c>
      <c r="AQ252" s="23">
        <v>2229911.9</v>
      </c>
      <c r="AR252" s="25">
        <f t="shared" ref="AR252:AR271" si="115">+(K252*10+L252*20)*12*0.85</f>
        <v>660847.79999999993</v>
      </c>
      <c r="AS252" s="25">
        <f>+(K252*10+L252*20)*12*30</f>
        <v>23324040</v>
      </c>
      <c r="AT252" s="127">
        <f t="shared" si="67"/>
        <v>-14291892.918872699</v>
      </c>
      <c r="AU252" s="127">
        <f>+P252-'[6]Приложение №1'!$P257</f>
        <v>0</v>
      </c>
      <c r="AV252" s="127">
        <f>+Q252-'[6]Приложение №1'!$Q257</f>
        <v>0</v>
      </c>
      <c r="AW252" s="63">
        <f t="shared" si="76"/>
        <v>11922906.7811273</v>
      </c>
      <c r="AX252" s="64">
        <v>11159574.199489523</v>
      </c>
      <c r="AY252" s="64">
        <v>0</v>
      </c>
      <c r="AZ252" s="64"/>
      <c r="BA252" s="64">
        <v>0</v>
      </c>
      <c r="BB252" s="64">
        <v>0</v>
      </c>
      <c r="BC252" s="64"/>
      <c r="BD252" s="64">
        <v>424568.12411291135</v>
      </c>
      <c r="BE252" s="64">
        <v>0</v>
      </c>
      <c r="BF252" s="64">
        <v>0</v>
      </c>
      <c r="BG252" s="64">
        <v>0</v>
      </c>
      <c r="BH252" s="64">
        <v>0</v>
      </c>
      <c r="BI252" s="64">
        <v>0</v>
      </c>
      <c r="BJ252" s="64"/>
      <c r="BK252" s="65"/>
      <c r="BL252" s="66">
        <v>338764.45752486604</v>
      </c>
    </row>
    <row r="253" spans="1:64" x14ac:dyDescent="0.25">
      <c r="A253" s="141">
        <f t="shared" si="71"/>
        <v>235</v>
      </c>
      <c r="B253" s="142">
        <f t="shared" si="72"/>
        <v>47</v>
      </c>
      <c r="C253" s="62" t="s">
        <v>52</v>
      </c>
      <c r="D253" s="62" t="s">
        <v>401</v>
      </c>
      <c r="E253" s="123">
        <v>1979</v>
      </c>
      <c r="F253" s="123">
        <v>2013</v>
      </c>
      <c r="G253" s="123" t="s">
        <v>43</v>
      </c>
      <c r="H253" s="123">
        <v>5</v>
      </c>
      <c r="I253" s="123">
        <v>4</v>
      </c>
      <c r="J253" s="64">
        <v>2793.1</v>
      </c>
      <c r="K253" s="64">
        <v>2468.5</v>
      </c>
      <c r="L253" s="64">
        <v>86.9</v>
      </c>
      <c r="M253" s="124">
        <v>97</v>
      </c>
      <c r="N253" s="95">
        <f t="shared" si="73"/>
        <v>2251512.1387999998</v>
      </c>
      <c r="O253" s="64"/>
      <c r="P253" s="65"/>
      <c r="Q253" s="65"/>
      <c r="R253" s="65">
        <f t="shared" si="114"/>
        <v>1302890.54</v>
      </c>
      <c r="S253" s="65">
        <f>+'Приложение №2'!E262-'Приложение №1'!R253</f>
        <v>948621.5987999998</v>
      </c>
      <c r="T253" s="65">
        <v>0</v>
      </c>
      <c r="U253" s="64">
        <f t="shared" si="110"/>
        <v>881.08012005948183</v>
      </c>
      <c r="V253" s="64">
        <f t="shared" si="110"/>
        <v>881.08012005948183</v>
      </c>
      <c r="W253" s="126">
        <v>2023</v>
      </c>
      <c r="X253" s="127" t="e">
        <f>+#REF!-'[1]Приложение №1'!$P617</f>
        <v>#REF!</v>
      </c>
      <c r="Z253" s="63">
        <f t="shared" si="111"/>
        <v>2529788.92</v>
      </c>
      <c r="AA253" s="64">
        <v>0</v>
      </c>
      <c r="AB253" s="64">
        <v>0</v>
      </c>
      <c r="AC253" s="64">
        <v>2203329.77902968</v>
      </c>
      <c r="AD253" s="64">
        <v>0</v>
      </c>
      <c r="AE253" s="64">
        <v>0</v>
      </c>
      <c r="AF253" s="64"/>
      <c r="AG253" s="64">
        <v>0</v>
      </c>
      <c r="AH253" s="64">
        <v>0</v>
      </c>
      <c r="AI253" s="64">
        <v>0</v>
      </c>
      <c r="AJ253" s="64">
        <v>0</v>
      </c>
      <c r="AK253" s="64">
        <v>0</v>
      </c>
      <c r="AL253" s="64">
        <v>0</v>
      </c>
      <c r="AM253" s="64">
        <v>252978.89199999999</v>
      </c>
      <c r="AN253" s="65">
        <v>25297.889200000001</v>
      </c>
      <c r="AO253" s="66">
        <v>48182.359770319999</v>
      </c>
      <c r="AP253" s="128">
        <f>+N253-'Приложение №2'!E262</f>
        <v>0</v>
      </c>
      <c r="AQ253" s="23">
        <v>1033375.94</v>
      </c>
      <c r="AR253" s="25">
        <f t="shared" si="115"/>
        <v>269514.59999999998</v>
      </c>
      <c r="AS253" s="25">
        <f>+(K253*10+L253*20)*12*30</f>
        <v>9512280</v>
      </c>
      <c r="AT253" s="127">
        <f t="shared" si="67"/>
        <v>-8563658.4012000002</v>
      </c>
      <c r="AU253" s="127">
        <f>+P253-'[6]Приложение №1'!$P258</f>
        <v>0</v>
      </c>
      <c r="AV253" s="127">
        <f>+Q253-'[6]Приложение №1'!$Q258</f>
        <v>0</v>
      </c>
      <c r="AW253" s="63">
        <f t="shared" si="76"/>
        <v>2251512.1387999998</v>
      </c>
      <c r="AX253" s="64">
        <v>0</v>
      </c>
      <c r="AY253" s="64">
        <v>0</v>
      </c>
      <c r="AZ253" s="64">
        <v>2203329.77902968</v>
      </c>
      <c r="BA253" s="64">
        <v>0</v>
      </c>
      <c r="BB253" s="64">
        <v>0</v>
      </c>
      <c r="BC253" s="64"/>
      <c r="BD253" s="64"/>
      <c r="BE253" s="64">
        <v>0</v>
      </c>
      <c r="BF253" s="64">
        <v>0</v>
      </c>
      <c r="BG253" s="64">
        <v>0</v>
      </c>
      <c r="BH253" s="64">
        <v>0</v>
      </c>
      <c r="BI253" s="64">
        <v>0</v>
      </c>
      <c r="BJ253" s="64"/>
      <c r="BK253" s="65"/>
      <c r="BL253" s="66">
        <v>48182.359770319999</v>
      </c>
    </row>
    <row r="254" spans="1:64" x14ac:dyDescent="0.25">
      <c r="A254" s="141">
        <f t="shared" si="71"/>
        <v>236</v>
      </c>
      <c r="B254" s="142">
        <f t="shared" si="72"/>
        <v>48</v>
      </c>
      <c r="C254" s="62" t="s">
        <v>52</v>
      </c>
      <c r="D254" s="62" t="s">
        <v>604</v>
      </c>
      <c r="E254" s="123">
        <v>1991</v>
      </c>
      <c r="F254" s="123">
        <v>2016</v>
      </c>
      <c r="G254" s="123" t="s">
        <v>43</v>
      </c>
      <c r="H254" s="123">
        <v>5</v>
      </c>
      <c r="I254" s="123">
        <v>4</v>
      </c>
      <c r="J254" s="64">
        <v>4887.3</v>
      </c>
      <c r="K254" s="64">
        <v>4825.5</v>
      </c>
      <c r="L254" s="64">
        <v>0</v>
      </c>
      <c r="M254" s="124">
        <v>240</v>
      </c>
      <c r="N254" s="95">
        <f t="shared" si="73"/>
        <v>4547471.7011479996</v>
      </c>
      <c r="O254" s="64"/>
      <c r="P254" s="65"/>
      <c r="Q254" s="65"/>
      <c r="R254" s="65">
        <v>2337821.67</v>
      </c>
      <c r="S254" s="65">
        <v>270353.53000000026</v>
      </c>
      <c r="T254" s="65">
        <f>+'Приложение №2'!E263-'Приложение №1'!P254-'Приложение №1'!R254-'Приложение №1'!S254</f>
        <v>1939296.5011479994</v>
      </c>
      <c r="U254" s="64">
        <f t="shared" si="110"/>
        <v>942.38352526121639</v>
      </c>
      <c r="V254" s="64">
        <f t="shared" si="110"/>
        <v>942.38352526121639</v>
      </c>
      <c r="W254" s="126">
        <v>2023</v>
      </c>
      <c r="X254" s="127" t="e">
        <f>+#REF!-'[1]Приложение №1'!$P1182</f>
        <v>#REF!</v>
      </c>
      <c r="Z254" s="63">
        <f t="shared" si="111"/>
        <v>16330841.699999999</v>
      </c>
      <c r="AA254" s="64">
        <v>0</v>
      </c>
      <c r="AB254" s="64">
        <v>0</v>
      </c>
      <c r="AC254" s="64">
        <v>0</v>
      </c>
      <c r="AD254" s="64">
        <v>0</v>
      </c>
      <c r="AE254" s="64">
        <v>0</v>
      </c>
      <c r="AF254" s="64"/>
      <c r="AG254" s="64">
        <v>0</v>
      </c>
      <c r="AH254" s="64">
        <v>0</v>
      </c>
      <c r="AI254" s="64">
        <v>15836071.998851998</v>
      </c>
      <c r="AJ254" s="64">
        <v>0</v>
      </c>
      <c r="AK254" s="64">
        <v>0</v>
      </c>
      <c r="AL254" s="64">
        <v>0</v>
      </c>
      <c r="AM254" s="64">
        <v>101648.88</v>
      </c>
      <c r="AN254" s="64">
        <v>46818</v>
      </c>
      <c r="AO254" s="66">
        <v>346302.82114799996</v>
      </c>
      <c r="AP254" s="128">
        <f>+N254-'Приложение №2'!E263</f>
        <v>0</v>
      </c>
      <c r="AQ254" s="23">
        <v>1845620.67</v>
      </c>
      <c r="AR254" s="25">
        <f t="shared" si="115"/>
        <v>492201</v>
      </c>
      <c r="AS254" s="25">
        <f>+(K254*10+L254*20)*12*30</f>
        <v>17371800</v>
      </c>
      <c r="AT254" s="127">
        <f t="shared" si="67"/>
        <v>-17101446.469999999</v>
      </c>
      <c r="AU254" s="127">
        <f>+P254-'[6]Приложение №1'!$P259</f>
        <v>-3772182.5490253926</v>
      </c>
      <c r="AV254" s="127">
        <f>+Q254-'[6]Приложение №1'!$Q259</f>
        <v>0</v>
      </c>
      <c r="AW254" s="63">
        <f t="shared" si="76"/>
        <v>4547471.7011479996</v>
      </c>
      <c r="AX254" s="64">
        <v>0</v>
      </c>
      <c r="AY254" s="64">
        <v>0</v>
      </c>
      <c r="AZ254" s="64">
        <v>0</v>
      </c>
      <c r="BA254" s="64">
        <v>0</v>
      </c>
      <c r="BB254" s="64">
        <v>0</v>
      </c>
      <c r="BC254" s="64"/>
      <c r="BD254" s="64"/>
      <c r="BE254" s="64">
        <v>0</v>
      </c>
      <c r="BF254" s="64">
        <v>4052702</v>
      </c>
      <c r="BG254" s="64">
        <v>0</v>
      </c>
      <c r="BH254" s="64">
        <v>0</v>
      </c>
      <c r="BI254" s="64">
        <v>0</v>
      </c>
      <c r="BJ254" s="64">
        <v>101648.88</v>
      </c>
      <c r="BK254" s="64">
        <v>46818</v>
      </c>
      <c r="BL254" s="66">
        <v>346302.82114799996</v>
      </c>
    </row>
    <row r="255" spans="1:64" x14ac:dyDescent="0.25">
      <c r="A255" s="141">
        <f t="shared" si="71"/>
        <v>237</v>
      </c>
      <c r="B255" s="142">
        <f t="shared" si="72"/>
        <v>49</v>
      </c>
      <c r="C255" s="62" t="s">
        <v>52</v>
      </c>
      <c r="D255" s="62" t="s">
        <v>1011</v>
      </c>
      <c r="E255" s="123">
        <v>1999</v>
      </c>
      <c r="F255" s="123">
        <v>2011</v>
      </c>
      <c r="G255" s="123" t="s">
        <v>43</v>
      </c>
      <c r="H255" s="123">
        <v>4</v>
      </c>
      <c r="I255" s="123">
        <v>3</v>
      </c>
      <c r="J255" s="64">
        <v>1789.4</v>
      </c>
      <c r="K255" s="64">
        <v>1789.4</v>
      </c>
      <c r="L255" s="64">
        <v>0</v>
      </c>
      <c r="M255" s="124">
        <v>56</v>
      </c>
      <c r="N255" s="95">
        <f t="shared" si="73"/>
        <v>1584388.41</v>
      </c>
      <c r="O255" s="64"/>
      <c r="P255" s="65"/>
      <c r="Q255" s="65"/>
      <c r="R255" s="65">
        <v>182518.8</v>
      </c>
      <c r="S255" s="65"/>
      <c r="T255" s="65">
        <f>+'Приложение №2'!E264-'Приложение №1'!P255-'Приложение №1'!R255-'Приложение №1'!S255</f>
        <v>1401869.6099999999</v>
      </c>
      <c r="U255" s="64">
        <f t="shared" si="110"/>
        <v>885.42998211691065</v>
      </c>
      <c r="V255" s="64">
        <f t="shared" si="110"/>
        <v>885.42998211691065</v>
      </c>
      <c r="W255" s="126">
        <v>2023</v>
      </c>
      <c r="X255" s="127" t="e">
        <f>+#REF!-'[1]Приложение №1'!$P1233</f>
        <v>#REF!</v>
      </c>
      <c r="Z255" s="63">
        <f t="shared" si="111"/>
        <v>15155840.090000002</v>
      </c>
      <c r="AA255" s="64">
        <v>3843679.5940452004</v>
      </c>
      <c r="AB255" s="64">
        <v>0</v>
      </c>
      <c r="AC255" s="64">
        <v>1430991.0437205599</v>
      </c>
      <c r="AD255" s="64">
        <v>895890.8758312799</v>
      </c>
      <c r="AE255" s="64">
        <v>0</v>
      </c>
      <c r="AF255" s="64"/>
      <c r="AG255" s="64">
        <v>147492.512475</v>
      </c>
      <c r="AH255" s="64">
        <v>0</v>
      </c>
      <c r="AI255" s="64">
        <v>7026831.1230768003</v>
      </c>
      <c r="AJ255" s="64">
        <v>0</v>
      </c>
      <c r="AK255" s="64">
        <v>0</v>
      </c>
      <c r="AL255" s="64">
        <v>0</v>
      </c>
      <c r="AM255" s="64">
        <v>1367570.9297000002</v>
      </c>
      <c r="AN255" s="65">
        <v>151558.40090000001</v>
      </c>
      <c r="AO255" s="66">
        <v>291825.61025115999</v>
      </c>
      <c r="AP255" s="128">
        <f>+N255-'Приложение №2'!E264</f>
        <v>0</v>
      </c>
      <c r="AQ255" s="127">
        <f>725047.53-R56</f>
        <v>-164367.46999999997</v>
      </c>
      <c r="AR255" s="25">
        <f t="shared" si="115"/>
        <v>182518.8</v>
      </c>
      <c r="AS255" s="25">
        <f>+(K255*10+L255*20)*12*30-S56</f>
        <v>0</v>
      </c>
      <c r="AT255" s="127">
        <f t="shared" si="67"/>
        <v>0</v>
      </c>
      <c r="AU255" s="127">
        <f>+P255-'[6]Приложение №1'!$P260</f>
        <v>0</v>
      </c>
      <c r="AV255" s="127">
        <f>+Q255-'[6]Приложение №1'!$Q260</f>
        <v>0</v>
      </c>
      <c r="AW255" s="63">
        <f t="shared" si="76"/>
        <v>1584388.41</v>
      </c>
      <c r="AX255" s="64"/>
      <c r="AY255" s="64">
        <v>0</v>
      </c>
      <c r="AZ255" s="64"/>
      <c r="BA255" s="64">
        <v>1320750.78</v>
      </c>
      <c r="BB255" s="64">
        <v>0</v>
      </c>
      <c r="BC255" s="64"/>
      <c r="BD255" s="64"/>
      <c r="BE255" s="64">
        <v>0</v>
      </c>
      <c r="BF255" s="64"/>
      <c r="BG255" s="64">
        <v>0</v>
      </c>
      <c r="BH255" s="64">
        <v>0</v>
      </c>
      <c r="BI255" s="64">
        <v>0</v>
      </c>
      <c r="BJ255" s="64">
        <v>86907.22</v>
      </c>
      <c r="BK255" s="65">
        <v>25537.94</v>
      </c>
      <c r="BL255" s="66">
        <v>151192.47</v>
      </c>
    </row>
    <row r="256" spans="1:64" x14ac:dyDescent="0.25">
      <c r="A256" s="141">
        <f t="shared" si="71"/>
        <v>238</v>
      </c>
      <c r="B256" s="142">
        <f t="shared" si="72"/>
        <v>50</v>
      </c>
      <c r="C256" s="62" t="s">
        <v>52</v>
      </c>
      <c r="D256" s="62" t="s">
        <v>993</v>
      </c>
      <c r="E256" s="123">
        <v>1986</v>
      </c>
      <c r="F256" s="123">
        <v>2013</v>
      </c>
      <c r="G256" s="123" t="s">
        <v>43</v>
      </c>
      <c r="H256" s="123">
        <v>4</v>
      </c>
      <c r="I256" s="123">
        <v>2</v>
      </c>
      <c r="J256" s="64">
        <v>3830.7</v>
      </c>
      <c r="K256" s="64">
        <v>3476.2</v>
      </c>
      <c r="L256" s="64">
        <v>0</v>
      </c>
      <c r="M256" s="124">
        <v>146</v>
      </c>
      <c r="N256" s="95">
        <f t="shared" si="73"/>
        <v>6374928.6790190004</v>
      </c>
      <c r="O256" s="64"/>
      <c r="P256" s="65">
        <v>2840886.23</v>
      </c>
      <c r="Q256" s="65"/>
      <c r="R256" s="65">
        <v>101111.17</v>
      </c>
      <c r="S256" s="65"/>
      <c r="T256" s="64">
        <f>+'Приложение №2'!E265-'Приложение №1'!P256-'Приложение №1'!Q256-'Приложение №1'!R256-'Приложение №1'!S256</f>
        <v>3432931.2790190005</v>
      </c>
      <c r="U256" s="65">
        <f t="shared" si="110"/>
        <v>1833.8785682696625</v>
      </c>
      <c r="V256" s="65">
        <f t="shared" si="110"/>
        <v>1833.8785682696625</v>
      </c>
      <c r="W256" s="126">
        <v>2023</v>
      </c>
      <c r="X256" s="127" t="e">
        <f>+#REF!-'[1]Приложение №1'!$P1017</f>
        <v>#REF!</v>
      </c>
      <c r="Z256" s="63">
        <f t="shared" si="111"/>
        <v>63545858.419999994</v>
      </c>
      <c r="AA256" s="64">
        <v>5818965.56459946</v>
      </c>
      <c r="AB256" s="64">
        <v>3365266.8627295201</v>
      </c>
      <c r="AC256" s="64">
        <v>3557336.2493503802</v>
      </c>
      <c r="AD256" s="64">
        <v>2712499.1287925998</v>
      </c>
      <c r="AE256" s="64">
        <v>1083587.8791200402</v>
      </c>
      <c r="AF256" s="64"/>
      <c r="AG256" s="64">
        <v>289142.86613099999</v>
      </c>
      <c r="AH256" s="64">
        <v>0</v>
      </c>
      <c r="AI256" s="64">
        <v>10358644.6581282</v>
      </c>
      <c r="AJ256" s="64">
        <v>0</v>
      </c>
      <c r="AK256" s="64">
        <v>20111367.36101808</v>
      </c>
      <c r="AL256" s="64">
        <v>7909542.8401185004</v>
      </c>
      <c r="AM256" s="64">
        <v>6496795.2884999998</v>
      </c>
      <c r="AN256" s="65">
        <v>635458.58420000004</v>
      </c>
      <c r="AO256" s="66">
        <v>1207251.1373122202</v>
      </c>
      <c r="AP256" s="128">
        <f>+N256-'Приложение №2'!E265</f>
        <v>0</v>
      </c>
      <c r="AQ256" s="127">
        <f>1393126.98-102965.87-R60</f>
        <v>-448445.6100000001</v>
      </c>
      <c r="AR256" s="25">
        <f t="shared" si="115"/>
        <v>354572.39999999997</v>
      </c>
      <c r="AS256" s="25">
        <f>+(K256*10+L256*20)*12*30-S60</f>
        <v>-858925.48000000045</v>
      </c>
      <c r="AT256" s="127">
        <f t="shared" si="67"/>
        <v>858925.48000000045</v>
      </c>
      <c r="AU256" s="127">
        <f>+P256-'[6]Приложение №1'!$P261</f>
        <v>-6272272.6190189999</v>
      </c>
      <c r="AV256" s="127">
        <f>+Q256-'[6]Приложение №1'!$Q261</f>
        <v>0</v>
      </c>
      <c r="AW256" s="63">
        <f t="shared" si="76"/>
        <v>6374928.6790190004</v>
      </c>
      <c r="AX256" s="71"/>
      <c r="AY256" s="64">
        <v>3744858.18609</v>
      </c>
      <c r="AZ256" s="64"/>
      <c r="BA256" s="64"/>
      <c r="BB256" s="64"/>
      <c r="BC256" s="64"/>
      <c r="BD256" s="64">
        <v>1311406.8</v>
      </c>
      <c r="BE256" s="64">
        <v>0</v>
      </c>
      <c r="BF256" s="64"/>
      <c r="BG256" s="64"/>
      <c r="BH256" s="64"/>
      <c r="BI256" s="64"/>
      <c r="BJ256" s="64"/>
      <c r="BK256" s="65"/>
      <c r="BL256" s="66">
        <v>1318663.6929290001</v>
      </c>
    </row>
    <row r="257" spans="1:64" x14ac:dyDescent="0.25">
      <c r="A257" s="141">
        <f t="shared" si="71"/>
        <v>239</v>
      </c>
      <c r="B257" s="142">
        <f t="shared" si="72"/>
        <v>51</v>
      </c>
      <c r="C257" s="62" t="s">
        <v>52</v>
      </c>
      <c r="D257" s="62" t="s">
        <v>992</v>
      </c>
      <c r="E257" s="123">
        <v>1995</v>
      </c>
      <c r="F257" s="123">
        <v>2013</v>
      </c>
      <c r="G257" s="123" t="s">
        <v>43</v>
      </c>
      <c r="H257" s="123">
        <v>5</v>
      </c>
      <c r="I257" s="123">
        <v>4</v>
      </c>
      <c r="J257" s="64">
        <v>4929.5</v>
      </c>
      <c r="K257" s="64">
        <v>4328.8999999999996</v>
      </c>
      <c r="L257" s="64">
        <v>0</v>
      </c>
      <c r="M257" s="124">
        <v>159</v>
      </c>
      <c r="N257" s="95">
        <f t="shared" si="73"/>
        <v>4526101.9687000001</v>
      </c>
      <c r="O257" s="64"/>
      <c r="P257" s="65"/>
      <c r="Q257" s="65"/>
      <c r="R257" s="65">
        <f t="shared" ref="R257:R269" si="116">+AQ257+AR257</f>
        <v>1488007.09</v>
      </c>
      <c r="S257" s="65">
        <f>+'Приложение №2'!E266-'Приложение №1'!R257</f>
        <v>3038094.8787000002</v>
      </c>
      <c r="T257" s="65">
        <v>0</v>
      </c>
      <c r="U257" s="64">
        <f t="shared" si="110"/>
        <v>1045.5547526392388</v>
      </c>
      <c r="V257" s="64">
        <f t="shared" si="110"/>
        <v>1045.5547526392388</v>
      </c>
      <c r="W257" s="126">
        <v>2023</v>
      </c>
      <c r="X257" s="127" t="e">
        <f>+#REF!-'[1]Приложение №1'!$P1236</f>
        <v>#REF!</v>
      </c>
      <c r="Z257" s="63">
        <f t="shared" si="111"/>
        <v>77122932.980000004</v>
      </c>
      <c r="AA257" s="64">
        <v>7245200.61515796</v>
      </c>
      <c r="AB257" s="64">
        <v>4190097.5862702606</v>
      </c>
      <c r="AC257" s="64">
        <v>4429243.3865698203</v>
      </c>
      <c r="AD257" s="64">
        <v>3377335.7392437602</v>
      </c>
      <c r="AE257" s="64">
        <v>0</v>
      </c>
      <c r="AF257" s="64"/>
      <c r="AG257" s="64">
        <v>360012.11029559997</v>
      </c>
      <c r="AH257" s="64">
        <v>0</v>
      </c>
      <c r="AI257" s="64">
        <v>12897560.1974562</v>
      </c>
      <c r="AJ257" s="64">
        <v>0</v>
      </c>
      <c r="AK257" s="64">
        <v>25040686.283834342</v>
      </c>
      <c r="AL257" s="64">
        <v>9848180.7538505998</v>
      </c>
      <c r="AM257" s="64">
        <v>7489740.9763000011</v>
      </c>
      <c r="AN257" s="65">
        <v>771229.32980000007</v>
      </c>
      <c r="AO257" s="66">
        <v>1473646.0012214603</v>
      </c>
      <c r="AP257" s="128">
        <f>+N257-'Приложение №2'!E266</f>
        <v>0</v>
      </c>
      <c r="AQ257" s="127">
        <f>1948762.98-R57</f>
        <v>1046459.29</v>
      </c>
      <c r="AR257" s="25">
        <f t="shared" si="115"/>
        <v>441547.8</v>
      </c>
      <c r="AS257" s="25">
        <f>+(K257*10+L257*20)*12*30-S57</f>
        <v>8602058.2485374007</v>
      </c>
      <c r="AT257" s="127">
        <f t="shared" si="67"/>
        <v>-5563963.3698374005</v>
      </c>
      <c r="AU257" s="127">
        <f>+P257-'[6]Приложение №1'!$P262</f>
        <v>0</v>
      </c>
      <c r="AV257" s="127">
        <f>+Q257-'[6]Приложение №1'!$Q262</f>
        <v>0</v>
      </c>
      <c r="AW257" s="63">
        <f t="shared" si="76"/>
        <v>4526101.9687000001</v>
      </c>
      <c r="AX257" s="64"/>
      <c r="AY257" s="64"/>
      <c r="AZ257" s="64">
        <v>4429243.3865698203</v>
      </c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5"/>
      <c r="BL257" s="66">
        <v>96858.582130180002</v>
      </c>
    </row>
    <row r="258" spans="1:64" x14ac:dyDescent="0.25">
      <c r="A258" s="141">
        <f t="shared" si="71"/>
        <v>240</v>
      </c>
      <c r="B258" s="142">
        <f t="shared" si="72"/>
        <v>52</v>
      </c>
      <c r="C258" s="62" t="s">
        <v>52</v>
      </c>
      <c r="D258" s="62" t="s">
        <v>736</v>
      </c>
      <c r="E258" s="123">
        <v>1996</v>
      </c>
      <c r="F258" s="123">
        <v>2013</v>
      </c>
      <c r="G258" s="123" t="s">
        <v>43</v>
      </c>
      <c r="H258" s="123">
        <v>2</v>
      </c>
      <c r="I258" s="123">
        <v>2</v>
      </c>
      <c r="J258" s="64">
        <v>1125</v>
      </c>
      <c r="K258" s="64">
        <v>1125</v>
      </c>
      <c r="L258" s="64">
        <v>0</v>
      </c>
      <c r="M258" s="124">
        <v>54</v>
      </c>
      <c r="N258" s="63">
        <f t="shared" ref="N258:N264" si="117">SUM(O258:T258)</f>
        <v>3390546.88</v>
      </c>
      <c r="O258" s="64"/>
      <c r="P258" s="65"/>
      <c r="Q258" s="65"/>
      <c r="R258" s="65">
        <f t="shared" si="116"/>
        <v>760259.35</v>
      </c>
      <c r="S258" s="65">
        <f>+'Приложение №2'!E267-'Приложение №1'!R258</f>
        <v>2630287.5299999998</v>
      </c>
      <c r="T258" s="65">
        <v>0</v>
      </c>
      <c r="U258" s="65">
        <f t="shared" ref="U258:U264" si="118">N258/K258</f>
        <v>3013.8194488888889</v>
      </c>
      <c r="V258" s="65">
        <v>1250.2830200640001</v>
      </c>
      <c r="W258" s="126">
        <v>2023</v>
      </c>
      <c r="X258" s="127" t="e">
        <f>+#REF!-'[1]Приложение №1'!$P1004</f>
        <v>#REF!</v>
      </c>
      <c r="Z258" s="63">
        <f>SUM(AA258:AO258)</f>
        <v>3390546.88</v>
      </c>
      <c r="AA258" s="64">
        <v>0</v>
      </c>
      <c r="AB258" s="64">
        <v>0</v>
      </c>
      <c r="AC258" s="64">
        <v>0</v>
      </c>
      <c r="AD258" s="64">
        <v>0</v>
      </c>
      <c r="AE258" s="64">
        <v>0</v>
      </c>
      <c r="AF258" s="64"/>
      <c r="AG258" s="64">
        <v>0</v>
      </c>
      <c r="AH258" s="64">
        <v>0</v>
      </c>
      <c r="AI258" s="64">
        <v>3197890.5015539997</v>
      </c>
      <c r="AJ258" s="64">
        <v>0</v>
      </c>
      <c r="AK258" s="64">
        <v>0</v>
      </c>
      <c r="AL258" s="64">
        <v>0</v>
      </c>
      <c r="AM258" s="64">
        <v>85155.99</v>
      </c>
      <c r="AN258" s="64">
        <v>37569</v>
      </c>
      <c r="AO258" s="66">
        <v>69931.388445999997</v>
      </c>
      <c r="AP258" s="128">
        <f>+N258-'Приложение №2'!E267</f>
        <v>0</v>
      </c>
      <c r="AQ258" s="38">
        <v>639771.85</v>
      </c>
      <c r="AR258" s="25">
        <f>+(K258*10.5+L258*21)*12*0.85</f>
        <v>120487.5</v>
      </c>
      <c r="AS258" s="25">
        <f>+(K258*10.5+L258*21)*12*30</f>
        <v>4252500</v>
      </c>
      <c r="AT258" s="127">
        <f t="shared" ref="AT258:AT264" si="119">+S258-AS258</f>
        <v>-1622212.4700000002</v>
      </c>
      <c r="AU258" s="127">
        <f>+P258-'[6]Приложение №1'!$P533</f>
        <v>0</v>
      </c>
      <c r="AV258" s="127">
        <f>+Q258-'[6]Приложение №1'!$Q533</f>
        <v>0</v>
      </c>
      <c r="AW258" s="88">
        <f t="shared" si="76"/>
        <v>3390546.88</v>
      </c>
      <c r="AX258" s="64">
        <v>0</v>
      </c>
      <c r="AY258" s="64">
        <v>0</v>
      </c>
      <c r="AZ258" s="64">
        <v>0</v>
      </c>
      <c r="BA258" s="64">
        <v>0</v>
      </c>
      <c r="BB258" s="64">
        <v>0</v>
      </c>
      <c r="BC258" s="64"/>
      <c r="BD258" s="64"/>
      <c r="BE258" s="64">
        <v>0</v>
      </c>
      <c r="BF258" s="64">
        <v>3197890.5015539997</v>
      </c>
      <c r="BG258" s="64">
        <v>0</v>
      </c>
      <c r="BH258" s="64">
        <v>0</v>
      </c>
      <c r="BI258" s="64">
        <v>0</v>
      </c>
      <c r="BJ258" s="64">
        <v>85155.99</v>
      </c>
      <c r="BK258" s="64">
        <f>37569</f>
        <v>37569</v>
      </c>
      <c r="BL258" s="66">
        <v>69931.388445999997</v>
      </c>
    </row>
    <row r="259" spans="1:64" x14ac:dyDescent="0.25">
      <c r="A259" s="141">
        <f t="shared" si="71"/>
        <v>241</v>
      </c>
      <c r="B259" s="142">
        <f t="shared" si="72"/>
        <v>53</v>
      </c>
      <c r="C259" s="62" t="s">
        <v>52</v>
      </c>
      <c r="D259" s="62" t="s">
        <v>737</v>
      </c>
      <c r="E259" s="123">
        <v>1986</v>
      </c>
      <c r="F259" s="123">
        <v>2013</v>
      </c>
      <c r="G259" s="123" t="s">
        <v>43</v>
      </c>
      <c r="H259" s="123">
        <v>2</v>
      </c>
      <c r="I259" s="123">
        <v>2</v>
      </c>
      <c r="J259" s="64">
        <v>1112.5</v>
      </c>
      <c r="K259" s="64">
        <v>1000.4</v>
      </c>
      <c r="L259" s="64">
        <v>0</v>
      </c>
      <c r="M259" s="124">
        <v>40</v>
      </c>
      <c r="N259" s="63">
        <f t="shared" si="117"/>
        <v>589567.59499999997</v>
      </c>
      <c r="O259" s="64"/>
      <c r="P259" s="65"/>
      <c r="Q259" s="65"/>
      <c r="R259" s="65">
        <f t="shared" si="116"/>
        <v>538759.71</v>
      </c>
      <c r="S259" s="65">
        <f>+'Приложение №2'!E268-'Приложение №1'!R259</f>
        <v>50807.885000000009</v>
      </c>
      <c r="T259" s="65">
        <v>0</v>
      </c>
      <c r="U259" s="65">
        <f t="shared" si="118"/>
        <v>589.33186225509792</v>
      </c>
      <c r="V259" s="65">
        <v>1251.2830200640001</v>
      </c>
      <c r="W259" s="126">
        <v>2023</v>
      </c>
      <c r="X259" s="127" t="e">
        <f>+#REF!-'[1]Приложение №1'!$P631</f>
        <v>#REF!</v>
      </c>
      <c r="Z259" s="63">
        <f>SUM(AA259:AO259)</f>
        <v>2293840.42</v>
      </c>
      <c r="AA259" s="64">
        <v>943755.90929256007</v>
      </c>
      <c r="AB259" s="64">
        <v>0</v>
      </c>
      <c r="AC259" s="64">
        <v>576950.84846699995</v>
      </c>
      <c r="AD259" s="64">
        <v>439929.92612436</v>
      </c>
      <c r="AE259" s="64">
        <v>0</v>
      </c>
      <c r="AF259" s="64"/>
      <c r="AG259" s="64">
        <v>46894.9827066</v>
      </c>
      <c r="AH259" s="64">
        <v>0</v>
      </c>
      <c r="AI259" s="64">
        <v>0</v>
      </c>
      <c r="AJ259" s="64">
        <v>0</v>
      </c>
      <c r="AK259" s="64">
        <v>0</v>
      </c>
      <c r="AL259" s="64">
        <v>0</v>
      </c>
      <c r="AM259" s="64">
        <v>219469.69759999998</v>
      </c>
      <c r="AN259" s="65">
        <v>22938.404200000004</v>
      </c>
      <c r="AO259" s="66">
        <v>43900.65160948001</v>
      </c>
      <c r="AP259" s="128">
        <f>+N259-'Приложение №2'!E268</f>
        <v>0</v>
      </c>
      <c r="AQ259" s="38">
        <v>431616.87</v>
      </c>
      <c r="AR259" s="25">
        <f>+(K259*10.5+L259*21)*12*0.85</f>
        <v>107142.84</v>
      </c>
      <c r="AS259" s="25">
        <f>+(K259*10.5+L259*21)*12*30</f>
        <v>3781512</v>
      </c>
      <c r="AT259" s="127">
        <f t="shared" si="119"/>
        <v>-3730704.1150000002</v>
      </c>
      <c r="AU259" s="127">
        <f>+P259-'[6]Приложение №1'!$P534</f>
        <v>0</v>
      </c>
      <c r="AV259" s="127">
        <f>+Q259-'[6]Приложение №1'!$Q534</f>
        <v>0</v>
      </c>
      <c r="AW259" s="88">
        <f t="shared" si="76"/>
        <v>589567.59499999997</v>
      </c>
      <c r="AX259" s="64"/>
      <c r="AY259" s="64">
        <v>0</v>
      </c>
      <c r="AZ259" s="64">
        <v>576950.84846699995</v>
      </c>
      <c r="BA259" s="64"/>
      <c r="BB259" s="64"/>
      <c r="BC259" s="64"/>
      <c r="BD259" s="64"/>
      <c r="BE259" s="64">
        <v>0</v>
      </c>
      <c r="BF259" s="64">
        <v>0</v>
      </c>
      <c r="BG259" s="64">
        <v>0</v>
      </c>
      <c r="BH259" s="64">
        <v>0</v>
      </c>
      <c r="BI259" s="64">
        <v>0</v>
      </c>
      <c r="BJ259" s="64"/>
      <c r="BK259" s="65"/>
      <c r="BL259" s="66">
        <v>12616.746533000001</v>
      </c>
    </row>
    <row r="260" spans="1:64" x14ac:dyDescent="0.25">
      <c r="A260" s="141">
        <f t="shared" si="71"/>
        <v>242</v>
      </c>
      <c r="B260" s="142">
        <f t="shared" si="72"/>
        <v>54</v>
      </c>
      <c r="C260" s="62" t="s">
        <v>52</v>
      </c>
      <c r="D260" s="62" t="s">
        <v>1073</v>
      </c>
      <c r="E260" s="123">
        <v>1991</v>
      </c>
      <c r="F260" s="123">
        <v>2013</v>
      </c>
      <c r="G260" s="123" t="s">
        <v>43</v>
      </c>
      <c r="H260" s="123">
        <v>2</v>
      </c>
      <c r="I260" s="123">
        <v>2</v>
      </c>
      <c r="J260" s="64">
        <v>1131.9000000000001</v>
      </c>
      <c r="K260" s="64">
        <v>1004.5</v>
      </c>
      <c r="L260" s="64">
        <v>0</v>
      </c>
      <c r="M260" s="124">
        <v>46</v>
      </c>
      <c r="N260" s="63">
        <f t="shared" si="117"/>
        <v>510140.45280000003</v>
      </c>
      <c r="O260" s="64"/>
      <c r="P260" s="65"/>
      <c r="Q260" s="65"/>
      <c r="R260" s="65">
        <f t="shared" si="116"/>
        <v>408248.95</v>
      </c>
      <c r="S260" s="65">
        <f>+'Приложение №2'!E269-'Приложение №1'!R260</f>
        <v>101891.50280000002</v>
      </c>
      <c r="T260" s="65">
        <v>0</v>
      </c>
      <c r="U260" s="65">
        <f t="shared" si="118"/>
        <v>507.85510482827283</v>
      </c>
      <c r="V260" s="65">
        <v>1252.2830200640001</v>
      </c>
      <c r="W260" s="126">
        <v>2023</v>
      </c>
      <c r="X260" s="127" t="e">
        <f>+#REF!-'[1]Приложение №1'!$P632</f>
        <v>#REF!</v>
      </c>
      <c r="Z260" s="63">
        <f>SUM(AA260:AO260)</f>
        <v>1478022.6186027201</v>
      </c>
      <c r="AA260" s="64"/>
      <c r="AB260" s="64">
        <v>0</v>
      </c>
      <c r="AC260" s="64">
        <v>499223.44711008004</v>
      </c>
      <c r="AD260" s="64">
        <v>425443.60992000002</v>
      </c>
      <c r="AE260" s="64">
        <v>0</v>
      </c>
      <c r="AF260" s="64"/>
      <c r="AG260" s="64">
        <v>177679.34772671998</v>
      </c>
      <c r="AH260" s="64">
        <v>0</v>
      </c>
      <c r="AI260" s="64">
        <v>0</v>
      </c>
      <c r="AJ260" s="64">
        <v>0</v>
      </c>
      <c r="AK260" s="64">
        <v>0</v>
      </c>
      <c r="AL260" s="64">
        <v>0</v>
      </c>
      <c r="AM260" s="64">
        <v>281303.4768</v>
      </c>
      <c r="AN260" s="65">
        <v>32191.570400000001</v>
      </c>
      <c r="AO260" s="66">
        <v>62181.166645920006</v>
      </c>
      <c r="AP260" s="128">
        <f>+N260-'Приложение №2'!E269</f>
        <v>0</v>
      </c>
      <c r="AQ260" s="38">
        <v>300667</v>
      </c>
      <c r="AR260" s="25">
        <f>+(K260*10.5+L260*21)*12*0.85</f>
        <v>107581.95</v>
      </c>
      <c r="AS260" s="25">
        <f>+(K260*10.5+L260*21)*12*30-748881.44</f>
        <v>3048128.56</v>
      </c>
      <c r="AT260" s="127">
        <f t="shared" si="119"/>
        <v>-2946237.0572000002</v>
      </c>
      <c r="AU260" s="127">
        <f>+P260-'[6]Приложение №1'!$P535</f>
        <v>0</v>
      </c>
      <c r="AV260" s="127">
        <f>+Q260-'[6]Приложение №1'!$Q535</f>
        <v>0</v>
      </c>
      <c r="AW260" s="88">
        <f t="shared" si="76"/>
        <v>510140.45280000003</v>
      </c>
      <c r="AX260" s="64"/>
      <c r="AY260" s="64">
        <v>0</v>
      </c>
      <c r="AZ260" s="64">
        <v>499223.44711008004</v>
      </c>
      <c r="BA260" s="64"/>
      <c r="BB260" s="64"/>
      <c r="BC260" s="64"/>
      <c r="BD260" s="64"/>
      <c r="BE260" s="64">
        <v>0</v>
      </c>
      <c r="BF260" s="64">
        <v>0</v>
      </c>
      <c r="BG260" s="64">
        <v>0</v>
      </c>
      <c r="BH260" s="64">
        <v>0</v>
      </c>
      <c r="BI260" s="64">
        <v>0</v>
      </c>
      <c r="BJ260" s="64"/>
      <c r="BK260" s="65"/>
      <c r="BL260" s="66">
        <v>10917.005689920001</v>
      </c>
    </row>
    <row r="261" spans="1:64" x14ac:dyDescent="0.25">
      <c r="A261" s="141">
        <f t="shared" si="71"/>
        <v>243</v>
      </c>
      <c r="B261" s="142">
        <f t="shared" si="72"/>
        <v>55</v>
      </c>
      <c r="C261" s="62" t="s">
        <v>52</v>
      </c>
      <c r="D261" s="62" t="s">
        <v>738</v>
      </c>
      <c r="E261" s="123">
        <v>1982</v>
      </c>
      <c r="F261" s="123">
        <v>2013</v>
      </c>
      <c r="G261" s="123" t="s">
        <v>43</v>
      </c>
      <c r="H261" s="123">
        <v>2</v>
      </c>
      <c r="I261" s="123">
        <v>2</v>
      </c>
      <c r="J261" s="64">
        <v>711.8</v>
      </c>
      <c r="K261" s="64">
        <v>585</v>
      </c>
      <c r="L261" s="64">
        <v>0</v>
      </c>
      <c r="M261" s="124">
        <v>35</v>
      </c>
      <c r="N261" s="63">
        <f t="shared" si="117"/>
        <v>468707.47462941997</v>
      </c>
      <c r="O261" s="64"/>
      <c r="P261" s="65"/>
      <c r="Q261" s="65"/>
      <c r="R261" s="65">
        <f>+AQ261+AR261</f>
        <v>352995.99</v>
      </c>
      <c r="S261" s="65">
        <f>+'Приложение №2'!E270-'Приложение №1'!R261</f>
        <v>115711.48462941998</v>
      </c>
      <c r="T261" s="65">
        <v>0</v>
      </c>
      <c r="U261" s="65">
        <f t="shared" si="118"/>
        <v>801.2093583408888</v>
      </c>
      <c r="V261" s="65">
        <v>1253.2830200640001</v>
      </c>
      <c r="W261" s="126">
        <v>2023</v>
      </c>
      <c r="X261" s="127" t="e">
        <f>+#REF!-'[1]Приложение №1'!$P633</f>
        <v>#REF!</v>
      </c>
      <c r="Z261" s="63">
        <f>SUM(AA261:AO261)</f>
        <v>6351355.9299999997</v>
      </c>
      <c r="AA261" s="64">
        <v>1319645.0192616598</v>
      </c>
      <c r="AB261" s="64">
        <v>802983.70469520008</v>
      </c>
      <c r="AC261" s="64">
        <v>378372.70067058003</v>
      </c>
      <c r="AD261" s="64">
        <v>0</v>
      </c>
      <c r="AE261" s="64">
        <v>0</v>
      </c>
      <c r="AF261" s="64"/>
      <c r="AG261" s="64">
        <v>134667.18168371997</v>
      </c>
      <c r="AH261" s="64">
        <v>0</v>
      </c>
      <c r="AI261" s="64">
        <v>0</v>
      </c>
      <c r="AJ261" s="64">
        <v>0</v>
      </c>
      <c r="AK261" s="64">
        <v>0</v>
      </c>
      <c r="AL261" s="64">
        <v>2937440.8278188398</v>
      </c>
      <c r="AM261" s="64">
        <v>592860.32070000004</v>
      </c>
      <c r="AN261" s="65">
        <v>63513.559300000001</v>
      </c>
      <c r="AO261" s="66">
        <v>121872.61587000001</v>
      </c>
      <c r="AP261" s="128">
        <f>+N261-'Приложение №2'!E270</f>
        <v>0</v>
      </c>
      <c r="AQ261" s="38">
        <v>290342.49</v>
      </c>
      <c r="AR261" s="25">
        <f>+(K261*10.5+L261*21)*12*0.85</f>
        <v>62653.5</v>
      </c>
      <c r="AS261" s="25">
        <f>+(K261*10.5+L261*21)*12*30</f>
        <v>2211300</v>
      </c>
      <c r="AT261" s="127">
        <f t="shared" si="119"/>
        <v>-2095588.5153705799</v>
      </c>
      <c r="AU261" s="127">
        <f>+P261-'[6]Приложение №1'!$P536</f>
        <v>0</v>
      </c>
      <c r="AV261" s="127">
        <f>+Q261-'[6]Приложение №1'!$Q536</f>
        <v>0</v>
      </c>
      <c r="AW261" s="88">
        <f t="shared" si="76"/>
        <v>468707.47462941997</v>
      </c>
      <c r="AX261" s="64"/>
      <c r="AY261" s="64"/>
      <c r="AZ261" s="64">
        <v>460433.23</v>
      </c>
      <c r="BA261" s="64">
        <v>0</v>
      </c>
      <c r="BB261" s="64">
        <v>0</v>
      </c>
      <c r="BC261" s="64"/>
      <c r="BD261" s="64"/>
      <c r="BE261" s="64"/>
      <c r="BF261" s="64"/>
      <c r="BG261" s="64"/>
      <c r="BH261" s="64"/>
      <c r="BI261" s="64"/>
      <c r="BJ261" s="64"/>
      <c r="BK261" s="65"/>
      <c r="BL261" s="66">
        <v>8274.2446294200017</v>
      </c>
    </row>
    <row r="262" spans="1:64" x14ac:dyDescent="0.25">
      <c r="A262" s="141">
        <f t="shared" si="71"/>
        <v>244</v>
      </c>
      <c r="B262" s="142">
        <f t="shared" si="72"/>
        <v>56</v>
      </c>
      <c r="C262" s="62" t="s">
        <v>52</v>
      </c>
      <c r="D262" s="62" t="s">
        <v>1074</v>
      </c>
      <c r="E262" s="123">
        <v>1988</v>
      </c>
      <c r="F262" s="123">
        <v>2013</v>
      </c>
      <c r="G262" s="123" t="s">
        <v>43</v>
      </c>
      <c r="H262" s="123">
        <v>2</v>
      </c>
      <c r="I262" s="123">
        <v>2</v>
      </c>
      <c r="J262" s="64">
        <v>661.79</v>
      </c>
      <c r="K262" s="64">
        <v>596.70000000000005</v>
      </c>
      <c r="L262" s="64">
        <v>0</v>
      </c>
      <c r="M262" s="124">
        <v>38</v>
      </c>
      <c r="N262" s="63">
        <f t="shared" si="117"/>
        <v>2682867.5192038771</v>
      </c>
      <c r="O262" s="64"/>
      <c r="P262" s="65">
        <v>0</v>
      </c>
      <c r="Q262" s="65"/>
      <c r="R262" s="65">
        <v>117076.35000000002</v>
      </c>
      <c r="S262" s="65">
        <v>1878050.78</v>
      </c>
      <c r="T262" s="64">
        <f>+'Приложение №2'!E271-'Приложение №1'!P262-'Приложение №1'!Q262-'Приложение №1'!R262-'Приложение №1'!S262</f>
        <v>687740.38920387696</v>
      </c>
      <c r="U262" s="65">
        <f t="shared" si="118"/>
        <v>4496.1748268876772</v>
      </c>
      <c r="V262" s="65">
        <v>1254.2830200640001</v>
      </c>
      <c r="W262" s="126">
        <v>2023</v>
      </c>
      <c r="X262" s="127" t="e">
        <f>+#REF!-'[1]Приложение №1'!$P388</f>
        <v>#REF!</v>
      </c>
      <c r="Z262" s="63">
        <f>SUM(AA262:AO262)</f>
        <v>2270607.88</v>
      </c>
      <c r="AA262" s="64">
        <v>1303091.9754052199</v>
      </c>
      <c r="AB262" s="64">
        <v>0</v>
      </c>
      <c r="AC262" s="64">
        <v>373626.55878113996</v>
      </c>
      <c r="AD262" s="64">
        <v>318408.58904399996</v>
      </c>
      <c r="AE262" s="64">
        <v>0</v>
      </c>
      <c r="AF262" s="64"/>
      <c r="AG262" s="64">
        <v>0</v>
      </c>
      <c r="AH262" s="64">
        <v>0</v>
      </c>
      <c r="AI262" s="64">
        <v>0</v>
      </c>
      <c r="AJ262" s="64">
        <v>0</v>
      </c>
      <c r="AK262" s="64">
        <v>0</v>
      </c>
      <c r="AL262" s="64">
        <v>0</v>
      </c>
      <c r="AM262" s="64">
        <v>209145.2886</v>
      </c>
      <c r="AN262" s="65">
        <v>22706.078799999999</v>
      </c>
      <c r="AO262" s="66">
        <v>43629.389369639997</v>
      </c>
      <c r="AP262" s="128">
        <f>+N262-'Приложение №2'!E271</f>
        <v>0</v>
      </c>
      <c r="AQ262" s="23">
        <f>232648.79-31492.39</f>
        <v>201156.40000000002</v>
      </c>
      <c r="AR262" s="25">
        <f>+(K262*10.5+L262*21)*12*0.85</f>
        <v>63906.570000000007</v>
      </c>
      <c r="AS262" s="25">
        <f>+(K262*10.5+L262*21)*12*30</f>
        <v>2255526.0000000005</v>
      </c>
      <c r="AT262" s="127">
        <f t="shared" si="119"/>
        <v>-377475.22000000044</v>
      </c>
      <c r="AU262" s="127">
        <f>+P262-'[6]Приложение №1'!$P537</f>
        <v>0</v>
      </c>
      <c r="AV262" s="127">
        <f>+Q262-'[6]Приложение №1'!$Q537</f>
        <v>0</v>
      </c>
      <c r="AW262" s="88">
        <f t="shared" si="76"/>
        <v>2682867.5192038771</v>
      </c>
      <c r="AX262" s="64">
        <v>1551954.26</v>
      </c>
      <c r="AY262" s="64">
        <v>0</v>
      </c>
      <c r="AZ262" s="64">
        <v>437675.74</v>
      </c>
      <c r="BA262" s="64">
        <v>462948.67</v>
      </c>
      <c r="BB262" s="64">
        <v>0</v>
      </c>
      <c r="BC262" s="64"/>
      <c r="BD262" s="64">
        <v>186659.45983423694</v>
      </c>
      <c r="BE262" s="64">
        <v>0</v>
      </c>
      <c r="BF262" s="64">
        <v>0</v>
      </c>
      <c r="BG262" s="64">
        <v>0</v>
      </c>
      <c r="BH262" s="64">
        <v>0</v>
      </c>
      <c r="BI262" s="64">
        <v>0</v>
      </c>
      <c r="BJ262" s="64"/>
      <c r="BK262" s="65"/>
      <c r="BL262" s="66">
        <v>43629.389369639997</v>
      </c>
    </row>
    <row r="263" spans="1:64" s="74" customFormat="1" x14ac:dyDescent="0.25">
      <c r="A263" s="141">
        <f t="shared" si="71"/>
        <v>245</v>
      </c>
      <c r="B263" s="142">
        <f t="shared" si="72"/>
        <v>57</v>
      </c>
      <c r="C263" s="62" t="s">
        <v>94</v>
      </c>
      <c r="D263" s="62" t="s">
        <v>739</v>
      </c>
      <c r="E263" s="123" t="s">
        <v>128</v>
      </c>
      <c r="F263" s="123"/>
      <c r="G263" s="123" t="s">
        <v>43</v>
      </c>
      <c r="H263" s="123" t="s">
        <v>97</v>
      </c>
      <c r="I263" s="123" t="s">
        <v>109</v>
      </c>
      <c r="J263" s="64">
        <v>17927.330000000002</v>
      </c>
      <c r="K263" s="64">
        <v>15026.75</v>
      </c>
      <c r="L263" s="64">
        <v>72.8</v>
      </c>
      <c r="M263" s="124">
        <v>571</v>
      </c>
      <c r="N263" s="63">
        <f t="shared" si="117"/>
        <v>21536888.215718932</v>
      </c>
      <c r="O263" s="64">
        <v>0</v>
      </c>
      <c r="P263" s="65"/>
      <c r="Q263" s="65">
        <v>0</v>
      </c>
      <c r="R263" s="65">
        <f>+AQ263+AR263</f>
        <v>13810339.681500001</v>
      </c>
      <c r="S263" s="65">
        <f>+'Приложение №2'!E272-'Приложение №1'!R263</f>
        <v>7726548.5342189316</v>
      </c>
      <c r="T263" s="65">
        <v>0</v>
      </c>
      <c r="U263" s="65">
        <f t="shared" si="118"/>
        <v>1433.2366090950427</v>
      </c>
      <c r="V263" s="65">
        <v>1255.2830200640001</v>
      </c>
      <c r="W263" s="126">
        <v>2023</v>
      </c>
      <c r="X263" s="74">
        <v>7106067.9400000004</v>
      </c>
      <c r="Y263" s="74">
        <f>+(K263*12.08+L263*20.47)*12</f>
        <v>2196160.2719999999</v>
      </c>
      <c r="AA263" s="129">
        <f>+N263-'[5]Приложение № 2'!E503</f>
        <v>16116091.425718933</v>
      </c>
      <c r="AD263" s="129">
        <f>+N263-'[5]Приложение № 2'!E503</f>
        <v>16116091.425718933</v>
      </c>
      <c r="AP263" s="128">
        <f>+N263-'Приложение №2'!E272</f>
        <v>0</v>
      </c>
      <c r="AQ263" s="74">
        <v>11654621.880000001</v>
      </c>
      <c r="AR263" s="25">
        <f>+(K263*13.95+L263*23.65)*12*0.85</f>
        <v>2155717.8014999996</v>
      </c>
      <c r="AS263" s="25">
        <f>+(K263*13.95+L263*23.65)*12*30</f>
        <v>76084157.699999988</v>
      </c>
      <c r="AT263" s="127">
        <f t="shared" si="119"/>
        <v>-68357609.165781051</v>
      </c>
      <c r="AU263" s="127">
        <f>+P263-'[6]Приложение №1'!$P538</f>
        <v>0</v>
      </c>
      <c r="AV263" s="127">
        <f>+Q263-'[6]Приложение №1'!$Q538</f>
        <v>0</v>
      </c>
      <c r="AW263" s="88">
        <f t="shared" si="76"/>
        <v>21536888.215718932</v>
      </c>
      <c r="AX263" s="64"/>
      <c r="AY263" s="64"/>
      <c r="AZ263" s="64"/>
      <c r="BA263" s="64"/>
      <c r="BB263" s="64"/>
      <c r="BC263" s="64"/>
      <c r="BD263" s="64"/>
      <c r="BE263" s="64">
        <v>20793974.399999999</v>
      </c>
      <c r="BF263" s="64"/>
      <c r="BG263" s="64"/>
      <c r="BH263" s="64"/>
      <c r="BI263" s="64"/>
      <c r="BJ263" s="64">
        <v>263945.2194144</v>
      </c>
      <c r="BK263" s="65">
        <v>24000</v>
      </c>
      <c r="BL263" s="66">
        <v>454968.59630453185</v>
      </c>
    </row>
    <row r="264" spans="1:64" s="74" customFormat="1" x14ac:dyDescent="0.25">
      <c r="A264" s="141">
        <f t="shared" si="71"/>
        <v>246</v>
      </c>
      <c r="B264" s="142">
        <f t="shared" si="72"/>
        <v>58</v>
      </c>
      <c r="C264" s="62" t="s">
        <v>94</v>
      </c>
      <c r="D264" s="62" t="s">
        <v>741</v>
      </c>
      <c r="E264" s="123" t="s">
        <v>128</v>
      </c>
      <c r="F264" s="123"/>
      <c r="G264" s="123" t="s">
        <v>43</v>
      </c>
      <c r="H264" s="123" t="s">
        <v>97</v>
      </c>
      <c r="I264" s="123" t="s">
        <v>105</v>
      </c>
      <c r="J264" s="64">
        <v>11180.28</v>
      </c>
      <c r="K264" s="64">
        <v>9305.33</v>
      </c>
      <c r="L264" s="64">
        <v>0</v>
      </c>
      <c r="M264" s="124">
        <v>347</v>
      </c>
      <c r="N264" s="63">
        <f t="shared" si="117"/>
        <v>14391493.255421314</v>
      </c>
      <c r="O264" s="64">
        <v>0</v>
      </c>
      <c r="P264" s="65"/>
      <c r="Q264" s="65">
        <v>0</v>
      </c>
      <c r="R264" s="65">
        <f>+AQ264+AR264</f>
        <v>8237634.1857000003</v>
      </c>
      <c r="S264" s="65">
        <f>+'Приложение №2'!E273-'Приложение №1'!R264</f>
        <v>6153859.0697213141</v>
      </c>
      <c r="T264" s="65">
        <v>0</v>
      </c>
      <c r="U264" s="65">
        <f t="shared" si="118"/>
        <v>1546.5860163391642</v>
      </c>
      <c r="V264" s="65">
        <v>1257.2830200640001</v>
      </c>
      <c r="W264" s="126">
        <v>2023</v>
      </c>
      <c r="X264" s="74">
        <v>4241666.0199999996</v>
      </c>
      <c r="Y264" s="74">
        <f>+(K264*12.08+L264*20.47)*12</f>
        <v>1348900.6368</v>
      </c>
      <c r="AA264" s="129">
        <f>+N264-'[5]Приложение № 2'!E505</f>
        <v>4500633.5797061138</v>
      </c>
      <c r="AD264" s="129">
        <f>+N264-'[5]Приложение № 2'!E505</f>
        <v>4500633.5797061138</v>
      </c>
      <c r="AP264" s="128">
        <f>+N264-'Приложение №2'!E273</f>
        <v>0</v>
      </c>
      <c r="AQ264" s="74">
        <v>6913578.7800000003</v>
      </c>
      <c r="AR264" s="25">
        <f>+(K264*13.95+L264*23.65)*12*0.85</f>
        <v>1324055.4057</v>
      </c>
      <c r="AS264" s="25">
        <f>+(K264*13.95+L264*23.65)*12*30</f>
        <v>46731367.260000005</v>
      </c>
      <c r="AT264" s="127">
        <f t="shared" si="119"/>
        <v>-40577508.190278694</v>
      </c>
      <c r="AU264" s="127">
        <f>+P264-'[6]Приложение №1'!$P540</f>
        <v>0</v>
      </c>
      <c r="AV264" s="127">
        <f>+Q264-'[6]Приложение №1'!$Q540</f>
        <v>0</v>
      </c>
      <c r="AW264" s="88">
        <f t="shared" si="76"/>
        <v>14391493.255421314</v>
      </c>
      <c r="AX264" s="64"/>
      <c r="AY264" s="64"/>
      <c r="AZ264" s="64"/>
      <c r="BA264" s="64"/>
      <c r="BB264" s="64"/>
      <c r="BC264" s="64"/>
      <c r="BD264" s="64"/>
      <c r="BE264" s="64">
        <v>13862649.6</v>
      </c>
      <c r="BF264" s="64"/>
      <c r="BG264" s="64"/>
      <c r="BH264" s="64"/>
      <c r="BI264" s="64"/>
      <c r="BJ264" s="64">
        <v>202265.31720959998</v>
      </c>
      <c r="BK264" s="65">
        <v>24000</v>
      </c>
      <c r="BL264" s="66">
        <v>302578.33821171458</v>
      </c>
    </row>
    <row r="265" spans="1:64" x14ac:dyDescent="0.25">
      <c r="A265" s="141">
        <f t="shared" si="71"/>
        <v>247</v>
      </c>
      <c r="B265" s="142">
        <f t="shared" si="72"/>
        <v>59</v>
      </c>
      <c r="C265" s="62" t="s">
        <v>52</v>
      </c>
      <c r="D265" s="62" t="s">
        <v>742</v>
      </c>
      <c r="E265" s="123">
        <v>1964</v>
      </c>
      <c r="F265" s="123">
        <v>2013</v>
      </c>
      <c r="G265" s="123" t="s">
        <v>43</v>
      </c>
      <c r="H265" s="123">
        <v>5</v>
      </c>
      <c r="I265" s="123">
        <v>7</v>
      </c>
      <c r="J265" s="64">
        <v>6384.4</v>
      </c>
      <c r="K265" s="64">
        <v>5253.8</v>
      </c>
      <c r="L265" s="64">
        <v>1130.5999999999999</v>
      </c>
      <c r="M265" s="124">
        <v>210</v>
      </c>
      <c r="N265" s="63">
        <f t="shared" ref="N265" si="120">SUM(O265:T265)</f>
        <v>25498364.259147443</v>
      </c>
      <c r="O265" s="64"/>
      <c r="P265" s="65">
        <v>127594.26226869</v>
      </c>
      <c r="Q265" s="65"/>
      <c r="R265" s="65">
        <f t="shared" ref="R265" si="121">+AQ265+AR265</f>
        <v>4968039.2</v>
      </c>
      <c r="S265" s="65">
        <f>+'Приложение №2'!E274-'Приложение №1'!P265-'Приложение №1'!R265</f>
        <v>20402730.796878751</v>
      </c>
      <c r="T265" s="65">
        <f>+'Приложение №2'!E274-'Приложение №1'!P265-'Приложение №1'!R265-'Приложение №1'!S265</f>
        <v>0</v>
      </c>
      <c r="U265" s="65">
        <f t="shared" ref="U265" si="122">N265/K265</f>
        <v>4853.3184093698737</v>
      </c>
      <c r="V265" s="65">
        <v>1258.2830200640001</v>
      </c>
      <c r="W265" s="126">
        <v>2023</v>
      </c>
      <c r="X265" s="127" t="e">
        <f>+#REF!-'[1]Приложение №1'!$P1118</f>
        <v>#REF!</v>
      </c>
      <c r="Z265" s="63">
        <f t="shared" ref="Z265" si="123">SUM(AA265:AO265)</f>
        <v>31039639.368981633</v>
      </c>
      <c r="AA265" s="64">
        <v>13616559.511674002</v>
      </c>
      <c r="AB265" s="64">
        <v>4892953.0885143364</v>
      </c>
      <c r="AC265" s="64">
        <v>5159278.8563651238</v>
      </c>
      <c r="AD265" s="64">
        <v>3303637.3136041779</v>
      </c>
      <c r="AE265" s="64">
        <v>2454070.4593860004</v>
      </c>
      <c r="AF265" s="64"/>
      <c r="AG265" s="64">
        <v>488558.85729000001</v>
      </c>
      <c r="AH265" s="64">
        <v>0</v>
      </c>
      <c r="AI265" s="64">
        <v>0</v>
      </c>
      <c r="AJ265" s="64">
        <v>0</v>
      </c>
      <c r="AK265" s="64">
        <v>0</v>
      </c>
      <c r="AL265" s="64">
        <v>0</v>
      </c>
      <c r="AM265" s="64">
        <v>425297.73</v>
      </c>
      <c r="AN265" s="64">
        <v>45101.82</v>
      </c>
      <c r="AO265" s="66">
        <v>654181.73214800004</v>
      </c>
      <c r="AP265" s="128">
        <f>+N265-'Приложение №2'!E274</f>
        <v>0</v>
      </c>
      <c r="AQ265" s="38">
        <v>4163182.7</v>
      </c>
      <c r="AR265" s="25">
        <f t="shared" ref="AR265" si="124">+(K265*10.5+L265*21)*12*0.85</f>
        <v>804856.5</v>
      </c>
      <c r="AS265" s="25">
        <f>+(K265*10.5+L265*21)*12*30</f>
        <v>28406700</v>
      </c>
      <c r="AT265" s="127">
        <f t="shared" ref="AT265" si="125">+S265-AS265</f>
        <v>-8003969.2031212486</v>
      </c>
      <c r="AU265" s="127">
        <f>+P265-'[6]Приложение №1'!$P254</f>
        <v>-16472448.327731309</v>
      </c>
      <c r="AV265" s="127">
        <f>+Q265-'[6]Приложение №1'!$Q254</f>
        <v>0</v>
      </c>
      <c r="AW265" s="88">
        <f t="shared" si="76"/>
        <v>25498364.259147439</v>
      </c>
      <c r="AX265" s="64"/>
      <c r="AY265" s="64">
        <v>4892953.0885143364</v>
      </c>
      <c r="AZ265" s="64">
        <v>5159278.8563651238</v>
      </c>
      <c r="BA265" s="64">
        <v>3303637.3136041779</v>
      </c>
      <c r="BB265" s="64"/>
      <c r="BC265" s="64"/>
      <c r="BD265" s="64"/>
      <c r="BE265" s="64">
        <v>0</v>
      </c>
      <c r="BF265" s="64">
        <v>11343089.619999999</v>
      </c>
      <c r="BG265" s="64">
        <v>0</v>
      </c>
      <c r="BH265" s="64">
        <v>0</v>
      </c>
      <c r="BI265" s="64">
        <v>0</v>
      </c>
      <c r="BJ265" s="64">
        <v>596430.70650000009</v>
      </c>
      <c r="BK265" s="64">
        <v>24992.426500000001</v>
      </c>
      <c r="BL265" s="66">
        <v>177982.24766380002</v>
      </c>
    </row>
    <row r="266" spans="1:64" x14ac:dyDescent="0.25">
      <c r="A266" s="141">
        <f t="shared" si="71"/>
        <v>248</v>
      </c>
      <c r="B266" s="142">
        <f t="shared" si="72"/>
        <v>60</v>
      </c>
      <c r="C266" s="62" t="s">
        <v>52</v>
      </c>
      <c r="D266" s="62" t="s">
        <v>708</v>
      </c>
      <c r="E266" s="123">
        <v>1954</v>
      </c>
      <c r="F266" s="123">
        <v>2005</v>
      </c>
      <c r="G266" s="123" t="s">
        <v>43</v>
      </c>
      <c r="H266" s="123">
        <v>3</v>
      </c>
      <c r="I266" s="123">
        <v>3</v>
      </c>
      <c r="J266" s="64">
        <v>1802.3</v>
      </c>
      <c r="K266" s="64">
        <v>1033</v>
      </c>
      <c r="L266" s="64">
        <v>769.3</v>
      </c>
      <c r="M266" s="124">
        <v>35</v>
      </c>
      <c r="N266" s="95">
        <f t="shared" ref="N266:N346" si="126">+P266+Q266+R266+S266+T266</f>
        <v>6788793.2927659061</v>
      </c>
      <c r="O266" s="64"/>
      <c r="P266" s="65"/>
      <c r="Q266" s="65"/>
      <c r="R266" s="65">
        <v>3131129.08</v>
      </c>
      <c r="S266" s="65">
        <v>3131129.08</v>
      </c>
      <c r="T266" s="64">
        <f>+'Приложение №2'!E275-'Приложение №1'!P266-'Приложение №1'!Q266-'Приложение №1'!R266-'Приложение №1'!S266</f>
        <v>526535.13276590593</v>
      </c>
      <c r="U266" s="64">
        <f t="shared" si="110"/>
        <v>3766.7387742140077</v>
      </c>
      <c r="V266" s="64">
        <f t="shared" si="110"/>
        <v>3766.7387742140077</v>
      </c>
      <c r="W266" s="126">
        <v>2023</v>
      </c>
      <c r="X266" s="127" t="e">
        <f>+#REF!-'[1]Приложение №1'!$P1598</f>
        <v>#REF!</v>
      </c>
      <c r="Z266" s="63">
        <f t="shared" si="111"/>
        <v>16373215.82</v>
      </c>
      <c r="AA266" s="64">
        <v>0</v>
      </c>
      <c r="AB266" s="64">
        <v>0</v>
      </c>
      <c r="AC266" s="64">
        <v>0</v>
      </c>
      <c r="AD266" s="64">
        <v>0</v>
      </c>
      <c r="AE266" s="64">
        <v>0</v>
      </c>
      <c r="AF266" s="64"/>
      <c r="AG266" s="64">
        <v>0</v>
      </c>
      <c r="AH266" s="64">
        <v>0</v>
      </c>
      <c r="AI266" s="64">
        <v>15841009.187234094</v>
      </c>
      <c r="AJ266" s="64">
        <v>0</v>
      </c>
      <c r="AK266" s="64">
        <v>0</v>
      </c>
      <c r="AL266" s="64">
        <v>0</v>
      </c>
      <c r="AM266" s="64">
        <v>144246.84530748578</v>
      </c>
      <c r="AN266" s="64">
        <v>41549</v>
      </c>
      <c r="AO266" s="66">
        <v>346410.7874584198</v>
      </c>
      <c r="AP266" s="128">
        <f>+N266-'Приложение №2'!E275</f>
        <v>0</v>
      </c>
      <c r="AQ266" s="23">
        <v>895754.39</v>
      </c>
      <c r="AR266" s="25">
        <f t="shared" si="115"/>
        <v>262303.2</v>
      </c>
      <c r="AS266" s="25">
        <f>+(K266*10+L266*20)*12*30</f>
        <v>9257760</v>
      </c>
      <c r="AT266" s="127">
        <f t="shared" si="67"/>
        <v>-6126630.9199999999</v>
      </c>
      <c r="AU266" s="127">
        <f>+P266-'[6]Приложение №1'!$P263</f>
        <v>0</v>
      </c>
      <c r="AV266" s="127">
        <f>+Q266-'[6]Приложение №1'!$Q263</f>
        <v>0</v>
      </c>
      <c r="AW266" s="63">
        <f t="shared" si="76"/>
        <v>6788793.2927659061</v>
      </c>
      <c r="AX266" s="64">
        <v>0</v>
      </c>
      <c r="AY266" s="64">
        <v>0</v>
      </c>
      <c r="AZ266" s="64">
        <v>0</v>
      </c>
      <c r="BA266" s="64">
        <v>0</v>
      </c>
      <c r="BB266" s="64">
        <v>0</v>
      </c>
      <c r="BC266" s="64"/>
      <c r="BD266" s="64"/>
      <c r="BE266" s="64">
        <v>0</v>
      </c>
      <c r="BF266" s="64">
        <v>6256586.6600000001</v>
      </c>
      <c r="BG266" s="64">
        <v>0</v>
      </c>
      <c r="BH266" s="64">
        <v>0</v>
      </c>
      <c r="BI266" s="64">
        <v>0</v>
      </c>
      <c r="BJ266" s="64">
        <v>144246.84530748578</v>
      </c>
      <c r="BK266" s="64">
        <f>41549</f>
        <v>41549</v>
      </c>
      <c r="BL266" s="66">
        <v>346410.7874584198</v>
      </c>
    </row>
    <row r="267" spans="1:64" s="74" customFormat="1" x14ac:dyDescent="0.25">
      <c r="A267" s="141">
        <f t="shared" si="71"/>
        <v>249</v>
      </c>
      <c r="B267" s="142">
        <f t="shared" si="72"/>
        <v>61</v>
      </c>
      <c r="C267" s="62" t="s">
        <v>52</v>
      </c>
      <c r="D267" s="62" t="s">
        <v>709</v>
      </c>
      <c r="E267" s="123">
        <v>1959</v>
      </c>
      <c r="F267" s="123"/>
      <c r="G267" s="123" t="s">
        <v>43</v>
      </c>
      <c r="H267" s="123">
        <v>4</v>
      </c>
      <c r="I267" s="123">
        <v>3</v>
      </c>
      <c r="J267" s="64">
        <v>2378.1999999999998</v>
      </c>
      <c r="K267" s="64">
        <v>1790.7</v>
      </c>
      <c r="L267" s="64">
        <v>587.5</v>
      </c>
      <c r="M267" s="124">
        <v>74</v>
      </c>
      <c r="N267" s="63">
        <f t="shared" si="126"/>
        <v>3508963.12</v>
      </c>
      <c r="O267" s="64"/>
      <c r="P267" s="65">
        <f>+'[8]Приложение №2'!E70-'[8]Приложение №1'!R70-'[8]Приложение №1'!S70</f>
        <v>0</v>
      </c>
      <c r="Q267" s="65"/>
      <c r="R267" s="65">
        <v>909473.4</v>
      </c>
      <c r="S267" s="65">
        <f>+'Приложение №2'!E276-'Приложение №1'!R267</f>
        <v>2599489.7200000002</v>
      </c>
      <c r="T267" s="64">
        <f>+'[8]Приложение №2'!E70-'[8]Приложение №1'!P70-'[8]Приложение №1'!Q70-'[8]Приложение №1'!R70-'[8]Приложение №1'!S70</f>
        <v>0</v>
      </c>
      <c r="U267" s="65">
        <f>N267/K267</f>
        <v>1959.5482883788463</v>
      </c>
      <c r="V267" s="65">
        <v>1173.2830200640001</v>
      </c>
      <c r="W267" s="126">
        <v>2023</v>
      </c>
      <c r="AA267" s="129"/>
      <c r="AD267" s="129"/>
      <c r="AP267" s="128">
        <f>+N267-'Приложение №2'!E276</f>
        <v>0</v>
      </c>
      <c r="AQ267" s="67">
        <v>863803.68</v>
      </c>
      <c r="AR267" s="25">
        <f>+(K267*13.29+L267*22.52)*12*0.85</f>
        <v>377694.81060000003</v>
      </c>
      <c r="AS267" s="25">
        <f>+(K267*10+L267*20)*12*30</f>
        <v>10676520</v>
      </c>
      <c r="AT267" s="127">
        <f>+S267-AS267</f>
        <v>-8077030.2799999993</v>
      </c>
      <c r="AW267" s="63">
        <f t="shared" si="76"/>
        <v>3508963.12</v>
      </c>
      <c r="AX267" s="63">
        <v>3508963.12</v>
      </c>
      <c r="AY267" s="63"/>
      <c r="AZ267" s="63"/>
      <c r="BA267" s="63"/>
      <c r="BB267" s="63"/>
      <c r="BC267" s="63"/>
      <c r="BD267" s="63"/>
      <c r="BE267" s="63"/>
      <c r="BF267" s="63"/>
      <c r="BG267" s="63"/>
      <c r="BH267" s="63"/>
      <c r="BI267" s="63"/>
      <c r="BJ267" s="63"/>
      <c r="BK267" s="63"/>
      <c r="BL267" s="90"/>
    </row>
    <row r="268" spans="1:64" x14ac:dyDescent="0.25">
      <c r="A268" s="141">
        <f t="shared" si="71"/>
        <v>250</v>
      </c>
      <c r="B268" s="142">
        <f t="shared" si="72"/>
        <v>62</v>
      </c>
      <c r="C268" s="62" t="s">
        <v>52</v>
      </c>
      <c r="D268" s="62" t="s">
        <v>687</v>
      </c>
      <c r="E268" s="123">
        <v>1968</v>
      </c>
      <c r="F268" s="123">
        <v>2013</v>
      </c>
      <c r="G268" s="123" t="s">
        <v>43</v>
      </c>
      <c r="H268" s="123">
        <v>5</v>
      </c>
      <c r="I268" s="123">
        <v>4</v>
      </c>
      <c r="J268" s="64">
        <v>3228.9</v>
      </c>
      <c r="K268" s="64">
        <v>2518.9</v>
      </c>
      <c r="L268" s="64">
        <v>710</v>
      </c>
      <c r="M268" s="124">
        <v>136</v>
      </c>
      <c r="N268" s="63">
        <f>SUM(O268:T268)</f>
        <v>23964589.432865944</v>
      </c>
      <c r="O268" s="64"/>
      <c r="P268" s="65">
        <v>1321795.74</v>
      </c>
      <c r="Q268" s="65"/>
      <c r="R268" s="65">
        <v>466115.87000000005</v>
      </c>
      <c r="S268" s="65">
        <v>6858469.0800000001</v>
      </c>
      <c r="T268" s="64">
        <f>+'Приложение №2'!E277-'Приложение №1'!P268-'Приложение №1'!Q268-'Приложение №1'!R268-'Приложение №1'!S268</f>
        <v>15318208.742865944</v>
      </c>
      <c r="U268" s="65">
        <f>N268/K268</f>
        <v>9513.9106089427696</v>
      </c>
      <c r="V268" s="65">
        <v>1259.2830200640001</v>
      </c>
      <c r="W268" s="126">
        <v>2023</v>
      </c>
      <c r="X268" s="127" t="e">
        <f>+#REF!-'[1]Приложение №1'!$P1591</f>
        <v>#REF!</v>
      </c>
      <c r="Z268" s="63">
        <f>SUM(AA268:AO268)</f>
        <v>27107198.400000002</v>
      </c>
      <c r="AA268" s="64">
        <v>5940143.1063865805</v>
      </c>
      <c r="AB268" s="64">
        <v>2116717.1923795803</v>
      </c>
      <c r="AC268" s="64">
        <v>2211498.4827243001</v>
      </c>
      <c r="AD268" s="64">
        <v>1384537.88247348</v>
      </c>
      <c r="AE268" s="64">
        <v>847110.81731472013</v>
      </c>
      <c r="AF268" s="64"/>
      <c r="AG268" s="64">
        <v>227939.55009504</v>
      </c>
      <c r="AH268" s="64">
        <v>0</v>
      </c>
      <c r="AI268" s="64">
        <v>10859485.412210401</v>
      </c>
      <c r="AJ268" s="64">
        <v>0</v>
      </c>
      <c r="AK268" s="64">
        <v>0</v>
      </c>
      <c r="AL268" s="64">
        <v>0</v>
      </c>
      <c r="AM268" s="64">
        <v>2732884.5975000001</v>
      </c>
      <c r="AN268" s="65">
        <v>271071.984</v>
      </c>
      <c r="AO268" s="66">
        <v>515809.3749159</v>
      </c>
      <c r="AP268" s="128">
        <f>+N268-'Приложение №2'!E277</f>
        <v>0</v>
      </c>
      <c r="AQ268" s="127">
        <f>2448991.46-R69</f>
        <v>1217475.007738</v>
      </c>
      <c r="AR268" s="25">
        <f>+(K268*10.5+L268*21)*12*0.85</f>
        <v>421856.18999999994</v>
      </c>
      <c r="AS268" s="25">
        <f>+(K268*10.5+L268*21)*12*30</f>
        <v>14889041.999999998</v>
      </c>
      <c r="AT268" s="127">
        <f>+S268-AS268</f>
        <v>-8030572.9199999981</v>
      </c>
      <c r="AU268" s="127">
        <f>+P268-'[6]Приложение №1'!$P542</f>
        <v>-1878826.4973585771</v>
      </c>
      <c r="AV268" s="127">
        <f>+Q268-'[6]Приложение №1'!$Q542</f>
        <v>0</v>
      </c>
      <c r="AW268" s="88">
        <f>SUBTOTAL(9,AX268:BL268)</f>
        <v>23964589.432865944</v>
      </c>
      <c r="AX268" s="64">
        <v>6033410.3300000001</v>
      </c>
      <c r="AY268" s="64">
        <v>2116717.1923795803</v>
      </c>
      <c r="AZ268" s="64">
        <v>2211498.4827243001</v>
      </c>
      <c r="BA268" s="64">
        <v>2020165.83</v>
      </c>
      <c r="BB268" s="64"/>
      <c r="BC268" s="64"/>
      <c r="BD268" s="64">
        <v>227939.55009504</v>
      </c>
      <c r="BE268" s="64">
        <v>0</v>
      </c>
      <c r="BF268" s="64">
        <v>10859485.412210401</v>
      </c>
      <c r="BG268" s="64">
        <v>0</v>
      </c>
      <c r="BH268" s="64">
        <v>0</v>
      </c>
      <c r="BI268" s="64">
        <v>0</v>
      </c>
      <c r="BJ268" s="64"/>
      <c r="BK268" s="65"/>
      <c r="BL268" s="66">
        <v>495372.63545662002</v>
      </c>
    </row>
    <row r="269" spans="1:64" x14ac:dyDescent="0.25">
      <c r="A269" s="141">
        <f t="shared" si="71"/>
        <v>251</v>
      </c>
      <c r="B269" s="142">
        <f t="shared" si="72"/>
        <v>63</v>
      </c>
      <c r="C269" s="62" t="s">
        <v>52</v>
      </c>
      <c r="D269" s="62" t="s">
        <v>688</v>
      </c>
      <c r="E269" s="123">
        <v>1965</v>
      </c>
      <c r="F269" s="123">
        <v>2005</v>
      </c>
      <c r="G269" s="123" t="s">
        <v>43</v>
      </c>
      <c r="H269" s="123">
        <v>4</v>
      </c>
      <c r="I269" s="123">
        <v>2</v>
      </c>
      <c r="J269" s="64">
        <v>1948.5</v>
      </c>
      <c r="K269" s="64">
        <v>1410</v>
      </c>
      <c r="L269" s="64">
        <v>537.70000000000005</v>
      </c>
      <c r="M269" s="124">
        <v>38</v>
      </c>
      <c r="N269" s="95">
        <f t="shared" si="126"/>
        <v>3280945.5871758135</v>
      </c>
      <c r="O269" s="64"/>
      <c r="P269" s="65"/>
      <c r="Q269" s="65"/>
      <c r="R269" s="65">
        <f t="shared" si="116"/>
        <v>414061.25585124007</v>
      </c>
      <c r="S269" s="65">
        <f>+'Приложение №2'!E278-R269</f>
        <v>2866884.3313245736</v>
      </c>
      <c r="T269" s="65">
        <v>0</v>
      </c>
      <c r="U269" s="64">
        <f t="shared" si="110"/>
        <v>1684.5230719185774</v>
      </c>
      <c r="V269" s="64">
        <f t="shared" si="110"/>
        <v>1684.5230719185774</v>
      </c>
      <c r="W269" s="126">
        <v>2023</v>
      </c>
      <c r="X269" s="127" t="e">
        <f>+#REF!-'[1]Приложение №1'!$P1526</f>
        <v>#REF!</v>
      </c>
      <c r="Z269" s="63">
        <f t="shared" si="111"/>
        <v>10380935.740000002</v>
      </c>
      <c r="AA269" s="64">
        <v>4172919.5503249806</v>
      </c>
      <c r="AB269" s="64">
        <v>1486982.7864103799</v>
      </c>
      <c r="AC269" s="64">
        <v>1553566.1571465</v>
      </c>
      <c r="AD269" s="64">
        <v>972630.6372728399</v>
      </c>
      <c r="AE269" s="64">
        <v>595090.92894678004</v>
      </c>
      <c r="AF269" s="64"/>
      <c r="AG269" s="64">
        <v>160126.34455524001</v>
      </c>
      <c r="AH269" s="64">
        <v>0</v>
      </c>
      <c r="AI269" s="64">
        <v>0</v>
      </c>
      <c r="AJ269" s="64">
        <v>0</v>
      </c>
      <c r="AK269" s="64">
        <v>0</v>
      </c>
      <c r="AL269" s="64">
        <v>0</v>
      </c>
      <c r="AM269" s="64">
        <v>1140281.4974</v>
      </c>
      <c r="AN269" s="65">
        <v>103809.35740000001</v>
      </c>
      <c r="AO269" s="66">
        <v>195528.48054327999</v>
      </c>
      <c r="AP269" s="128">
        <f>+N269-'Приложение №2'!E278</f>
        <v>0</v>
      </c>
      <c r="AQ269" s="127">
        <f>945052.78-R70</f>
        <v>160550.45585124008</v>
      </c>
      <c r="AR269" s="25">
        <f t="shared" si="115"/>
        <v>253510.8</v>
      </c>
      <c r="AS269" s="25">
        <f>+(K269*10+L269*20)*12*30-S70</f>
        <v>8947440</v>
      </c>
      <c r="AT269" s="127">
        <f t="shared" si="67"/>
        <v>-6080555.6686754264</v>
      </c>
      <c r="AU269" s="127">
        <f>+P269-'[6]Приложение №1'!$P265</f>
        <v>0</v>
      </c>
      <c r="AV269" s="127">
        <f>+Q269-'[6]Приложение №1'!$Q265</f>
        <v>0</v>
      </c>
      <c r="AW269" s="63">
        <f t="shared" si="76"/>
        <v>3280945.5871758135</v>
      </c>
      <c r="AX269" s="64">
        <v>3199919.31</v>
      </c>
      <c r="AY269" s="64"/>
      <c r="AZ269" s="64"/>
      <c r="BA269" s="64"/>
      <c r="BB269" s="64"/>
      <c r="BC269" s="64"/>
      <c r="BD269" s="64"/>
      <c r="BE269" s="64"/>
      <c r="BF269" s="64"/>
      <c r="BG269" s="64">
        <v>0</v>
      </c>
      <c r="BH269" s="64">
        <v>0</v>
      </c>
      <c r="BI269" s="64">
        <v>0</v>
      </c>
      <c r="BJ269" s="64"/>
      <c r="BK269" s="65"/>
      <c r="BL269" s="66">
        <v>81026.277175813244</v>
      </c>
    </row>
    <row r="270" spans="1:64" x14ac:dyDescent="0.25">
      <c r="A270" s="141">
        <f t="shared" si="71"/>
        <v>252</v>
      </c>
      <c r="B270" s="142">
        <f t="shared" si="72"/>
        <v>64</v>
      </c>
      <c r="C270" s="62" t="s">
        <v>52</v>
      </c>
      <c r="D270" s="62" t="s">
        <v>689</v>
      </c>
      <c r="E270" s="123">
        <v>1963</v>
      </c>
      <c r="F270" s="123">
        <v>2013</v>
      </c>
      <c r="G270" s="123" t="s">
        <v>43</v>
      </c>
      <c r="H270" s="123">
        <v>4</v>
      </c>
      <c r="I270" s="123">
        <v>3</v>
      </c>
      <c r="J270" s="64">
        <v>2328.4</v>
      </c>
      <c r="K270" s="64">
        <v>1950.9</v>
      </c>
      <c r="L270" s="64">
        <v>377.5</v>
      </c>
      <c r="M270" s="124">
        <v>49</v>
      </c>
      <c r="N270" s="63">
        <f t="shared" si="126"/>
        <v>1079116.94161744</v>
      </c>
      <c r="O270" s="64"/>
      <c r="P270" s="65"/>
      <c r="Q270" s="65"/>
      <c r="R270" s="65">
        <v>123299.36000000002</v>
      </c>
      <c r="S270" s="65">
        <f>+'Приложение №2'!E279-'Приложение №1'!R270</f>
        <v>955817.58161743998</v>
      </c>
      <c r="T270" s="64"/>
      <c r="U270" s="65">
        <f t="shared" ref="U270:V270" si="127">$N270/($K270+$L270)</f>
        <v>463.45857310489606</v>
      </c>
      <c r="V270" s="65">
        <f t="shared" si="127"/>
        <v>463.45857310489606</v>
      </c>
      <c r="W270" s="126">
        <v>2023</v>
      </c>
      <c r="X270" s="127" t="e">
        <f>+#REF!-'[1]Приложение №1'!$P1615</f>
        <v>#REF!</v>
      </c>
      <c r="Z270" s="63">
        <f t="shared" si="111"/>
        <v>11906775.319999998</v>
      </c>
      <c r="AA270" s="64">
        <v>4786275.2192018395</v>
      </c>
      <c r="AB270" s="64">
        <v>1705546.6285494</v>
      </c>
      <c r="AC270" s="64">
        <v>1781916.7351927198</v>
      </c>
      <c r="AD270" s="64">
        <v>1115592.5413768801</v>
      </c>
      <c r="AE270" s="64">
        <v>682560.24163362011</v>
      </c>
      <c r="AF270" s="64"/>
      <c r="AG270" s="64">
        <v>183662.48366172001</v>
      </c>
      <c r="AH270" s="64">
        <v>0</v>
      </c>
      <c r="AI270" s="64">
        <v>0</v>
      </c>
      <c r="AJ270" s="64">
        <v>0</v>
      </c>
      <c r="AK270" s="64">
        <v>0</v>
      </c>
      <c r="AL270" s="64">
        <v>0</v>
      </c>
      <c r="AM270" s="64">
        <v>1307885.5255</v>
      </c>
      <c r="AN270" s="65">
        <v>119067.75319999999</v>
      </c>
      <c r="AO270" s="66">
        <v>224268.19168382001</v>
      </c>
      <c r="AP270" s="128">
        <f>+N270-'Приложение №2'!E279</f>
        <v>0</v>
      </c>
      <c r="AQ270" s="127">
        <f>1234380.76-R71</f>
        <v>473105.86838256032</v>
      </c>
      <c r="AR270" s="25">
        <f>+(K270*10+L270*20)*12*0.85</f>
        <v>276001.8</v>
      </c>
      <c r="AS270" s="25">
        <f>+(K270*10+L270*20)*12*30-S71</f>
        <v>5910049.0099999998</v>
      </c>
      <c r="AT270" s="127">
        <f t="shared" si="67"/>
        <v>-4954231.4283825597</v>
      </c>
      <c r="AW270" s="63">
        <f t="shared" si="76"/>
        <v>1079116.94161744</v>
      </c>
      <c r="AX270" s="72"/>
      <c r="AY270" s="72"/>
      <c r="AZ270" s="72"/>
      <c r="BA270" s="64"/>
      <c r="BB270" s="64">
        <v>869774.96</v>
      </c>
      <c r="BC270" s="64"/>
      <c r="BD270" s="64"/>
      <c r="BE270" s="64">
        <v>0</v>
      </c>
      <c r="BF270" s="64">
        <v>0</v>
      </c>
      <c r="BG270" s="64">
        <v>0</v>
      </c>
      <c r="BH270" s="64">
        <v>0</v>
      </c>
      <c r="BI270" s="64">
        <v>0</v>
      </c>
      <c r="BJ270" s="64"/>
      <c r="BK270" s="65"/>
      <c r="BL270" s="66">
        <v>209341.98161743997</v>
      </c>
    </row>
    <row r="271" spans="1:64" x14ac:dyDescent="0.25">
      <c r="A271" s="141">
        <f t="shared" si="71"/>
        <v>253</v>
      </c>
      <c r="B271" s="142">
        <f t="shared" si="72"/>
        <v>65</v>
      </c>
      <c r="C271" s="62" t="s">
        <v>52</v>
      </c>
      <c r="D271" s="62" t="s">
        <v>683</v>
      </c>
      <c r="E271" s="123">
        <v>1963</v>
      </c>
      <c r="F271" s="123">
        <v>2013</v>
      </c>
      <c r="G271" s="123" t="s">
        <v>43</v>
      </c>
      <c r="H271" s="123">
        <v>4</v>
      </c>
      <c r="I271" s="123">
        <v>4</v>
      </c>
      <c r="J271" s="64">
        <v>5268.75</v>
      </c>
      <c r="K271" s="64">
        <v>3170.15</v>
      </c>
      <c r="L271" s="64">
        <v>2098.6</v>
      </c>
      <c r="M271" s="124">
        <v>92</v>
      </c>
      <c r="N271" s="95">
        <f t="shared" si="126"/>
        <v>5422423.3145060008</v>
      </c>
      <c r="O271" s="64"/>
      <c r="P271" s="65">
        <v>1975634.0100000002</v>
      </c>
      <c r="Q271" s="65"/>
      <c r="R271" s="65">
        <f>+AQ271+AR271</f>
        <v>0</v>
      </c>
      <c r="S271" s="65">
        <f>+'Приложение №2'!E280-'Приложение №1'!R271-P271</f>
        <v>3446789.3045060006</v>
      </c>
      <c r="T271" s="64">
        <f>+'Приложение №2'!E280-'Приложение №1'!P271-'Приложение №1'!Q271-'Приложение №1'!R271-'Приложение №1'!S271</f>
        <v>0</v>
      </c>
      <c r="U271" s="65">
        <f t="shared" ref="U271:V305" si="128">$N271/($K271+$L271)</f>
        <v>1029.166939882515</v>
      </c>
      <c r="V271" s="65">
        <f t="shared" si="128"/>
        <v>1029.166939882515</v>
      </c>
      <c r="W271" s="126">
        <v>2023</v>
      </c>
      <c r="X271" s="127" t="e">
        <f>+#REF!-'[1]Приложение №1'!$P1206</f>
        <v>#REF!</v>
      </c>
      <c r="Z271" s="63">
        <f t="shared" si="111"/>
        <v>55905524.456026562</v>
      </c>
      <c r="AA271" s="64">
        <v>8910375.1309635937</v>
      </c>
      <c r="AB271" s="64">
        <v>3183729.7650160287</v>
      </c>
      <c r="AC271" s="64">
        <v>3374754.2381990571</v>
      </c>
      <c r="AD271" s="64">
        <v>2149419.7980030486</v>
      </c>
      <c r="AE271" s="64">
        <v>1581654.1276199999</v>
      </c>
      <c r="AF271" s="64"/>
      <c r="AG271" s="64">
        <v>320562.32128199999</v>
      </c>
      <c r="AH271" s="64">
        <v>0</v>
      </c>
      <c r="AI271" s="64">
        <v>16307858.936562859</v>
      </c>
      <c r="AJ271" s="64">
        <v>0</v>
      </c>
      <c r="AK271" s="64">
        <v>8424086.4921022002</v>
      </c>
      <c r="AL271" s="64">
        <v>9161049.1317717694</v>
      </c>
      <c r="AM271" s="64">
        <v>1263665.5900000001</v>
      </c>
      <c r="AN271" s="64">
        <v>60324.08</v>
      </c>
      <c r="AO271" s="66">
        <v>1168044.8445060002</v>
      </c>
      <c r="AP271" s="128">
        <f>+N271-'Приложение №2'!E280</f>
        <v>0</v>
      </c>
      <c r="AQ271" s="127">
        <f>3051973.41-R65</f>
        <v>-751469.70000000019</v>
      </c>
      <c r="AR271" s="25">
        <f t="shared" si="115"/>
        <v>751469.7</v>
      </c>
      <c r="AS271" s="25">
        <f>+(K271*10+L271*20)*12*30-S65</f>
        <v>14009140.329692017</v>
      </c>
      <c r="AT271" s="127">
        <f t="shared" si="67"/>
        <v>-10562351.025186017</v>
      </c>
      <c r="AU271" s="127">
        <f>+P271-'[6]Приложение №1'!$P266</f>
        <v>-1008033.5999999996</v>
      </c>
      <c r="AV271" s="127">
        <f>+Q271-'[6]Приложение №1'!$Q266</f>
        <v>0</v>
      </c>
      <c r="AW271" s="63">
        <f t="shared" si="76"/>
        <v>5422423.3145060008</v>
      </c>
      <c r="AX271" s="64"/>
      <c r="AY271" s="64">
        <v>2634178.6800000002</v>
      </c>
      <c r="AZ271" s="64">
        <v>1620199.79</v>
      </c>
      <c r="BA271" s="71"/>
      <c r="BB271" s="64"/>
      <c r="BC271" s="64"/>
      <c r="BD271" s="64"/>
      <c r="BE271" s="64">
        <v>0</v>
      </c>
      <c r="BF271" s="64"/>
      <c r="BG271" s="64"/>
      <c r="BH271" s="64"/>
      <c r="BI271" s="64"/>
      <c r="BJ271" s="64"/>
      <c r="BK271" s="64"/>
      <c r="BL271" s="66">
        <v>1168044.8445060002</v>
      </c>
    </row>
    <row r="272" spans="1:64" x14ac:dyDescent="0.25">
      <c r="A272" s="141">
        <f t="shared" si="71"/>
        <v>254</v>
      </c>
      <c r="B272" s="142">
        <f t="shared" si="72"/>
        <v>66</v>
      </c>
      <c r="C272" s="62" t="s">
        <v>52</v>
      </c>
      <c r="D272" s="62" t="s">
        <v>1075</v>
      </c>
      <c r="E272" s="123">
        <v>1971</v>
      </c>
      <c r="F272" s="123">
        <v>1971</v>
      </c>
      <c r="G272" s="123" t="s">
        <v>43</v>
      </c>
      <c r="H272" s="123">
        <v>1</v>
      </c>
      <c r="I272" s="123">
        <v>5</v>
      </c>
      <c r="J272" s="64">
        <v>672.9</v>
      </c>
      <c r="K272" s="64">
        <v>672.9</v>
      </c>
      <c r="L272" s="64">
        <v>0</v>
      </c>
      <c r="M272" s="124">
        <v>33</v>
      </c>
      <c r="N272" s="63">
        <f>SUM(O272:T272)</f>
        <v>4184287.1891999999</v>
      </c>
      <c r="O272" s="64"/>
      <c r="P272" s="65">
        <v>566089.32750000013</v>
      </c>
      <c r="Q272" s="65"/>
      <c r="R272" s="65">
        <f>+AQ272+AR272</f>
        <v>389981.18999999994</v>
      </c>
      <c r="S272" s="65">
        <f>+AS272</f>
        <v>2543562</v>
      </c>
      <c r="T272" s="65">
        <f>+'Приложение №2'!E281-'Приложение №1'!P272-'Приложение №1'!R272-'Приложение №1'!S272</f>
        <v>684654.67169999983</v>
      </c>
      <c r="U272" s="65">
        <f>N272/K272</f>
        <v>6218.2897744092734</v>
      </c>
      <c r="V272" s="65">
        <v>1260.2830200640001</v>
      </c>
      <c r="W272" s="126">
        <v>2023</v>
      </c>
      <c r="X272" s="127" t="e">
        <f>+#REF!-'[1]Приложение №1'!$P392</f>
        <v>#REF!</v>
      </c>
      <c r="Z272" s="63">
        <f>SUM(AA272:AO272)</f>
        <v>10663801.74</v>
      </c>
      <c r="AA272" s="64">
        <v>1006695.2324683799</v>
      </c>
      <c r="AB272" s="64">
        <v>582199.37404272018</v>
      </c>
      <c r="AC272" s="64">
        <v>615427.84556945995</v>
      </c>
      <c r="AD272" s="64">
        <v>469268.96418359998</v>
      </c>
      <c r="AE272" s="64">
        <v>0</v>
      </c>
      <c r="AF272" s="64"/>
      <c r="AG272" s="64">
        <v>0</v>
      </c>
      <c r="AH272" s="64">
        <v>0</v>
      </c>
      <c r="AI272" s="64">
        <v>1792070.7864570001</v>
      </c>
      <c r="AJ272" s="64">
        <v>0</v>
      </c>
      <c r="AK272" s="64">
        <v>3479315.59778166</v>
      </c>
      <c r="AL272" s="64">
        <v>1368370.2001410001</v>
      </c>
      <c r="AM272" s="64">
        <v>1040151.6639000002</v>
      </c>
      <c r="AN272" s="65">
        <v>106638.01740000001</v>
      </c>
      <c r="AO272" s="66">
        <v>203664.05805617999</v>
      </c>
      <c r="AP272" s="128">
        <f>+N272-'Приложение №2'!E281</f>
        <v>0</v>
      </c>
      <c r="AQ272" s="38">
        <v>317913.59999999998</v>
      </c>
      <c r="AR272" s="25">
        <f>+(K272*10.5+L272*21)*12*0.85</f>
        <v>72067.59</v>
      </c>
      <c r="AS272" s="25">
        <f>+(K272*10.5+L272*21)*12*30</f>
        <v>2543562</v>
      </c>
      <c r="AT272" s="127">
        <f>+S272-AS272</f>
        <v>0</v>
      </c>
      <c r="AU272" s="127">
        <f>+P272-'[6]Приложение №1'!$P543</f>
        <v>0</v>
      </c>
      <c r="AV272" s="127">
        <f>+Q272-'[6]Приложение №1'!$Q543</f>
        <v>0</v>
      </c>
      <c r="AW272" s="88">
        <f>SUBTOTAL(9,AX272:BL272)</f>
        <v>4184287.1891999999</v>
      </c>
      <c r="AX272" s="64"/>
      <c r="AY272" s="64"/>
      <c r="AZ272" s="64">
        <v>615427.84556945995</v>
      </c>
      <c r="BA272" s="64"/>
      <c r="BB272" s="64">
        <v>0</v>
      </c>
      <c r="BC272" s="64"/>
      <c r="BD272" s="64"/>
      <c r="BE272" s="64">
        <v>0</v>
      </c>
      <c r="BF272" s="64"/>
      <c r="BG272" s="64">
        <v>0</v>
      </c>
      <c r="BH272" s="64">
        <v>3479315.59778166</v>
      </c>
      <c r="BI272" s="64"/>
      <c r="BJ272" s="64"/>
      <c r="BK272" s="65"/>
      <c r="BL272" s="66">
        <v>89543.745848880018</v>
      </c>
    </row>
    <row r="273" spans="1:64" x14ac:dyDescent="0.25">
      <c r="A273" s="141">
        <f t="shared" ref="A273:A336" si="129">+A272+1</f>
        <v>255</v>
      </c>
      <c r="B273" s="142">
        <f t="shared" ref="B273:B336" si="130">+B272+1</f>
        <v>67</v>
      </c>
      <c r="C273" s="62" t="s">
        <v>52</v>
      </c>
      <c r="D273" s="62" t="s">
        <v>1014</v>
      </c>
      <c r="E273" s="123">
        <v>1989</v>
      </c>
      <c r="F273" s="123">
        <v>2017</v>
      </c>
      <c r="G273" s="123" t="s">
        <v>43</v>
      </c>
      <c r="H273" s="123">
        <v>9</v>
      </c>
      <c r="I273" s="123">
        <v>3</v>
      </c>
      <c r="J273" s="64">
        <v>7106.9</v>
      </c>
      <c r="K273" s="64">
        <v>6247.4</v>
      </c>
      <c r="L273" s="64">
        <v>0</v>
      </c>
      <c r="M273" s="124">
        <v>249</v>
      </c>
      <c r="N273" s="95">
        <f t="shared" si="126"/>
        <v>46997238.988224626</v>
      </c>
      <c r="O273" s="64"/>
      <c r="P273" s="65">
        <v>4212532.51</v>
      </c>
      <c r="Q273" s="65"/>
      <c r="R273" s="65">
        <f>+AQ273+AR273-67931.3</f>
        <v>3566852.3591999998</v>
      </c>
      <c r="S273" s="65">
        <f>+AS273</f>
        <v>29758207.16</v>
      </c>
      <c r="T273" s="65">
        <f>+'Приложение №2'!E282-'Приложение №1'!P273-'Приложение №1'!Q273-'Приложение №1'!R273-'Приложение №1'!S273</f>
        <v>9459646.9590246193</v>
      </c>
      <c r="U273" s="64">
        <f t="shared" si="128"/>
        <v>7522.6876761892354</v>
      </c>
      <c r="V273" s="64">
        <f t="shared" si="128"/>
        <v>7522.6876761892354</v>
      </c>
      <c r="W273" s="126">
        <v>2023</v>
      </c>
      <c r="X273" s="127" t="e">
        <f>+#REF!-'[1]Приложение №1'!$P538</f>
        <v>#REF!</v>
      </c>
      <c r="Z273" s="63">
        <f t="shared" si="111"/>
        <v>25881031.239999995</v>
      </c>
      <c r="AA273" s="64"/>
      <c r="AB273" s="64"/>
      <c r="AC273" s="64"/>
      <c r="AD273" s="64"/>
      <c r="AE273" s="64">
        <v>0</v>
      </c>
      <c r="AF273" s="64"/>
      <c r="AG273" s="64"/>
      <c r="AH273" s="64">
        <v>0</v>
      </c>
      <c r="AI273" s="64"/>
      <c r="AJ273" s="64">
        <v>0</v>
      </c>
      <c r="AK273" s="64">
        <v>25881031.239999995</v>
      </c>
      <c r="AL273" s="64">
        <v>0</v>
      </c>
      <c r="AM273" s="64"/>
      <c r="AN273" s="65"/>
      <c r="AO273" s="66"/>
      <c r="AP273" s="128">
        <f>+N273-'Приложение №2'!E282</f>
        <v>0</v>
      </c>
      <c r="AQ273" s="23">
        <v>2787898.61</v>
      </c>
      <c r="AR273" s="25">
        <f>+(K273*13.29+L273*22.52)*12*0.85</f>
        <v>846885.04919999989</v>
      </c>
      <c r="AS273" s="25">
        <f>+(K273*13.29+L273*22.52)*12*30-131853.4</f>
        <v>29758207.16</v>
      </c>
      <c r="AT273" s="127">
        <f t="shared" ref="AT273:AT357" si="131">+S273-AS273</f>
        <v>0</v>
      </c>
      <c r="AU273" s="127">
        <f>+P273-'[6]Приложение №1'!$P267</f>
        <v>1451732.6497500003</v>
      </c>
      <c r="AV273" s="127">
        <f>+Q273-'[6]Приложение №1'!$Q267</f>
        <v>0</v>
      </c>
      <c r="AW273" s="63">
        <f t="shared" ref="AW273:AW352" si="132">SUBTOTAL(9,AX273:BL273)</f>
        <v>46997238.988224618</v>
      </c>
      <c r="AX273" s="64">
        <v>4565506.9600000009</v>
      </c>
      <c r="AY273" s="64">
        <v>0</v>
      </c>
      <c r="AZ273" s="64">
        <v>1227624.8600000001</v>
      </c>
      <c r="BA273" s="64"/>
      <c r="BB273" s="64">
        <v>0</v>
      </c>
      <c r="BC273" s="64"/>
      <c r="BD273" s="64"/>
      <c r="BE273" s="64">
        <v>0</v>
      </c>
      <c r="BF273" s="64"/>
      <c r="BG273" s="64">
        <v>0</v>
      </c>
      <c r="BH273" s="64">
        <v>40313035.834008001</v>
      </c>
      <c r="BI273" s="64">
        <v>0</v>
      </c>
      <c r="BJ273" s="64"/>
      <c r="BK273" s="65"/>
      <c r="BL273" s="66">
        <v>891071.33421662007</v>
      </c>
    </row>
    <row r="274" spans="1:64" x14ac:dyDescent="0.25">
      <c r="A274" s="141">
        <f t="shared" si="129"/>
        <v>256</v>
      </c>
      <c r="B274" s="142">
        <f t="shared" si="130"/>
        <v>68</v>
      </c>
      <c r="C274" s="62" t="s">
        <v>52</v>
      </c>
      <c r="D274" s="62" t="s">
        <v>1015</v>
      </c>
      <c r="E274" s="123">
        <v>1989</v>
      </c>
      <c r="F274" s="123">
        <v>2017</v>
      </c>
      <c r="G274" s="123" t="s">
        <v>43</v>
      </c>
      <c r="H274" s="123">
        <v>9</v>
      </c>
      <c r="I274" s="123">
        <v>3</v>
      </c>
      <c r="J274" s="64">
        <v>8049.4</v>
      </c>
      <c r="K274" s="64">
        <v>6639.6</v>
      </c>
      <c r="L274" s="64">
        <v>0</v>
      </c>
      <c r="M274" s="124">
        <v>258</v>
      </c>
      <c r="N274" s="95">
        <f t="shared" si="126"/>
        <v>8572865.9774930608</v>
      </c>
      <c r="O274" s="64"/>
      <c r="Q274" s="65"/>
      <c r="R274" s="65">
        <v>1023373.87</v>
      </c>
      <c r="S274" s="65">
        <v>1003951.7300000001</v>
      </c>
      <c r="T274" s="65">
        <f>+'Приложение №2'!E283-'Приложение №1'!P274-'Приложение №1'!R274-'Приложение №1'!S274</f>
        <v>6545540.3774930602</v>
      </c>
      <c r="U274" s="65">
        <f t="shared" si="128"/>
        <v>1291.1720551679409</v>
      </c>
      <c r="V274" s="65">
        <f t="shared" si="128"/>
        <v>1291.1720551679409</v>
      </c>
      <c r="W274" s="126">
        <v>2023</v>
      </c>
      <c r="X274" s="127" t="e">
        <f>+#REF!-'[1]Приложение №1'!$P1217</f>
        <v>#REF!</v>
      </c>
      <c r="Z274" s="63">
        <f t="shared" si="111"/>
        <v>34535107.586130939</v>
      </c>
      <c r="AA274" s="64">
        <v>9503098.7698319387</v>
      </c>
      <c r="AB274" s="64">
        <v>0</v>
      </c>
      <c r="AC274" s="64">
        <v>6138860.8976629199</v>
      </c>
      <c r="AD274" s="64">
        <v>2958309.3156556799</v>
      </c>
      <c r="AE274" s="64">
        <v>0</v>
      </c>
      <c r="AF274" s="64"/>
      <c r="AG274" s="64">
        <v>715245.76767839992</v>
      </c>
      <c r="AH274" s="64">
        <v>0</v>
      </c>
      <c r="AI274" s="64">
        <v>5352142.2195780007</v>
      </c>
      <c r="AJ274" s="64">
        <v>0</v>
      </c>
      <c r="AK274" s="64"/>
      <c r="AL274" s="64">
        <v>0</v>
      </c>
      <c r="AM274" s="64">
        <v>7589459.6136000007</v>
      </c>
      <c r="AN274" s="65">
        <v>782532.36640000006</v>
      </c>
      <c r="AO274" s="66">
        <v>1495458.6357239999</v>
      </c>
      <c r="AP274" s="128">
        <f>+N274-'Приложение №2'!E283</f>
        <v>0</v>
      </c>
      <c r="AQ274" s="127">
        <f>4261157.78-R73</f>
        <v>4261157.78</v>
      </c>
      <c r="AR274" s="25">
        <f>+(K274*13.29+L274*22.52)*12*0.85</f>
        <v>900050.89679999999</v>
      </c>
      <c r="AS274" s="25">
        <f>+(K274*13.29+L274*22.52)*12*30-14694406.85-S73</f>
        <v>13686757.412506942</v>
      </c>
      <c r="AT274" s="127">
        <f t="shared" si="131"/>
        <v>-12682805.682506941</v>
      </c>
      <c r="AW274" s="63">
        <f t="shared" si="132"/>
        <v>8572865.9774930608</v>
      </c>
      <c r="AX274" s="64">
        <v>3795804.42</v>
      </c>
      <c r="AY274" s="64">
        <v>0</v>
      </c>
      <c r="AZ274" s="64">
        <v>1815463.98</v>
      </c>
      <c r="BA274" s="64">
        <v>2422165.88</v>
      </c>
      <c r="BB274" s="64">
        <v>0</v>
      </c>
      <c r="BC274" s="64"/>
      <c r="BD274" s="64"/>
      <c r="BE274" s="64">
        <v>0</v>
      </c>
      <c r="BF274" s="64"/>
      <c r="BG274" s="64">
        <v>0</v>
      </c>
      <c r="BH274" s="64"/>
      <c r="BI274" s="64">
        <v>0</v>
      </c>
      <c r="BJ274" s="64"/>
      <c r="BK274" s="65"/>
      <c r="BL274" s="66">
        <v>539431.69749306003</v>
      </c>
    </row>
    <row r="275" spans="1:64" x14ac:dyDescent="0.25">
      <c r="A275" s="141">
        <f t="shared" si="129"/>
        <v>257</v>
      </c>
      <c r="B275" s="142">
        <f t="shared" si="130"/>
        <v>69</v>
      </c>
      <c r="C275" s="62" t="s">
        <v>52</v>
      </c>
      <c r="D275" s="62" t="s">
        <v>1016</v>
      </c>
      <c r="E275" s="123">
        <v>1994</v>
      </c>
      <c r="F275" s="123">
        <v>2013</v>
      </c>
      <c r="G275" s="123" t="s">
        <v>43</v>
      </c>
      <c r="H275" s="123">
        <v>9</v>
      </c>
      <c r="I275" s="123">
        <v>3</v>
      </c>
      <c r="J275" s="64">
        <v>7891.7</v>
      </c>
      <c r="K275" s="64">
        <v>6600.8</v>
      </c>
      <c r="L275" s="64">
        <v>0</v>
      </c>
      <c r="M275" s="124">
        <v>291</v>
      </c>
      <c r="N275" s="95">
        <f t="shared" si="126"/>
        <v>12616576.755879181</v>
      </c>
      <c r="O275" s="64"/>
      <c r="P275" s="65">
        <v>1020018.4912000014</v>
      </c>
      <c r="Q275" s="65"/>
      <c r="R275" s="65"/>
      <c r="S275" s="65">
        <f>+'Приложение №2'!E284-'Приложение №1'!P275-'Приложение №1'!Q275-'Приложение №1'!R275</f>
        <v>11596558.264679179</v>
      </c>
      <c r="T275" s="65">
        <f>+'Приложение №2'!E284-'Приложение №1'!P275-'Приложение №1'!Q275-'Приложение №1'!R275-'Приложение №1'!S275</f>
        <v>0</v>
      </c>
      <c r="U275" s="64">
        <f t="shared" si="128"/>
        <v>1911.3708574535178</v>
      </c>
      <c r="V275" s="64">
        <f t="shared" si="128"/>
        <v>1911.3708574535178</v>
      </c>
      <c r="W275" s="126">
        <v>2023</v>
      </c>
      <c r="Z275" s="63">
        <f t="shared" si="111"/>
        <v>8703397.3200000003</v>
      </c>
      <c r="AA275" s="64"/>
      <c r="AB275" s="65"/>
      <c r="AC275" s="64"/>
      <c r="AD275" s="64"/>
      <c r="AE275" s="65">
        <v>0</v>
      </c>
      <c r="AF275" s="65">
        <v>0</v>
      </c>
      <c r="AG275" s="65"/>
      <c r="AH275" s="65">
        <v>8628684.8600000013</v>
      </c>
      <c r="AI275" s="64"/>
      <c r="AJ275" s="65">
        <v>0</v>
      </c>
      <c r="AK275" s="64"/>
      <c r="AL275" s="65">
        <v>0</v>
      </c>
      <c r="AM275" s="64">
        <v>55020.369999999995</v>
      </c>
      <c r="AN275" s="64">
        <v>19692.09</v>
      </c>
      <c r="AO275" s="96"/>
      <c r="AP275" s="128">
        <f>+N275-'Приложение №2'!E284</f>
        <v>0</v>
      </c>
      <c r="AQ275" s="127">
        <f>4161512.94-301266.52-3086934.55-S74</f>
        <v>-3941022.5194791807</v>
      </c>
      <c r="AR275" s="25">
        <f>+(K275*13.29+L275*22.52)*12*0.85</f>
        <v>894791.24639999995</v>
      </c>
      <c r="AS275" s="25">
        <f>+(K275*13.29+L275*22.52)*12*30-1198680.53-8354818.57-S74</f>
        <v>17313034.030520819</v>
      </c>
      <c r="AT275" s="127">
        <f t="shared" si="131"/>
        <v>-5716475.7658416405</v>
      </c>
      <c r="AU275" s="127">
        <f>+P275-'[6]Приложение №1'!$P268</f>
        <v>0</v>
      </c>
      <c r="AV275" s="127">
        <f>+Q275-'[6]Приложение №1'!$Q268</f>
        <v>0</v>
      </c>
      <c r="AW275" s="63">
        <f t="shared" si="132"/>
        <v>12616576.755879181</v>
      </c>
      <c r="AX275" s="64">
        <v>4667209.49</v>
      </c>
      <c r="AY275" s="64">
        <v>0</v>
      </c>
      <c r="AZ275" s="64">
        <v>2134044.9699999997</v>
      </c>
      <c r="BA275" s="64">
        <v>2451411.64</v>
      </c>
      <c r="BB275" s="64"/>
      <c r="BC275" s="64"/>
      <c r="BD275" s="64"/>
      <c r="BE275" s="64">
        <v>0</v>
      </c>
      <c r="BF275" s="64"/>
      <c r="BG275" s="64">
        <v>0</v>
      </c>
      <c r="BH275" s="64"/>
      <c r="BI275" s="64">
        <v>0</v>
      </c>
      <c r="BJ275" s="64">
        <v>2550189.8570000003</v>
      </c>
      <c r="BK275" s="65">
        <v>278424.56929999997</v>
      </c>
      <c r="BL275" s="66">
        <v>535296.22957918001</v>
      </c>
    </row>
    <row r="276" spans="1:64" x14ac:dyDescent="0.25">
      <c r="A276" s="141">
        <f t="shared" si="129"/>
        <v>258</v>
      </c>
      <c r="B276" s="142">
        <f t="shared" si="130"/>
        <v>70</v>
      </c>
      <c r="C276" s="62" t="s">
        <v>52</v>
      </c>
      <c r="D276" s="62" t="s">
        <v>690</v>
      </c>
      <c r="E276" s="123">
        <v>1987</v>
      </c>
      <c r="F276" s="123">
        <v>2013</v>
      </c>
      <c r="G276" s="123" t="s">
        <v>43</v>
      </c>
      <c r="H276" s="123">
        <v>3</v>
      </c>
      <c r="I276" s="123">
        <v>3</v>
      </c>
      <c r="J276" s="64">
        <v>1395.8</v>
      </c>
      <c r="K276" s="64">
        <v>1268</v>
      </c>
      <c r="L276" s="64">
        <v>0</v>
      </c>
      <c r="M276" s="124">
        <v>63</v>
      </c>
      <c r="N276" s="95">
        <f t="shared" si="126"/>
        <v>7552741.9318827204</v>
      </c>
      <c r="O276" s="64"/>
      <c r="P276" s="65">
        <v>6889278.41188272</v>
      </c>
      <c r="Q276" s="65"/>
      <c r="R276" s="65">
        <v>227914.34</v>
      </c>
      <c r="S276" s="65">
        <v>0</v>
      </c>
      <c r="T276" s="64">
        <f>+'Приложение №2'!E285-'Приложение №1'!P276-'Приложение №1'!Q276-'Приложение №1'!R276-'Приложение №1'!S276</f>
        <v>435549.18000000052</v>
      </c>
      <c r="U276" s="64">
        <f t="shared" si="128"/>
        <v>5956.4210819264354</v>
      </c>
      <c r="V276" s="64">
        <f t="shared" si="128"/>
        <v>5956.4210819264354</v>
      </c>
      <c r="W276" s="126">
        <v>2023</v>
      </c>
      <c r="X276" s="127" t="e">
        <f>+#REF!-'[1]Приложение №1'!$P656</f>
        <v>#REF!</v>
      </c>
      <c r="Z276" s="63">
        <f t="shared" si="111"/>
        <v>20424271.119999997</v>
      </c>
      <c r="AA276" s="64">
        <v>3880461.3812546395</v>
      </c>
      <c r="AB276" s="64">
        <v>2361201.0958737601</v>
      </c>
      <c r="AC276" s="64">
        <v>1112617.8937948202</v>
      </c>
      <c r="AD276" s="64">
        <v>948184.97499599995</v>
      </c>
      <c r="AE276" s="64">
        <v>0</v>
      </c>
      <c r="AF276" s="64"/>
      <c r="AG276" s="64">
        <v>395993.45985528</v>
      </c>
      <c r="AH276" s="64">
        <v>0</v>
      </c>
      <c r="AI276" s="64">
        <v>0</v>
      </c>
      <c r="AJ276" s="64">
        <v>0</v>
      </c>
      <c r="AK276" s="64">
        <v>9178717.215051299</v>
      </c>
      <c r="AL276" s="64">
        <v>0</v>
      </c>
      <c r="AM276" s="64">
        <v>1951914.7557999999</v>
      </c>
      <c r="AN276" s="65">
        <v>204242.71119999999</v>
      </c>
      <c r="AO276" s="66">
        <v>390937.63217419997</v>
      </c>
      <c r="AP276" s="128">
        <f>+N276-'Приложение №2'!E285</f>
        <v>0</v>
      </c>
      <c r="AQ276" s="127">
        <f>502354.09-R75</f>
        <v>89967.44</v>
      </c>
      <c r="AR276" s="25">
        <f t="shared" ref="AR276" si="133">+(K276*10+L276*20)*12*0.85</f>
        <v>129336</v>
      </c>
      <c r="AS276" s="25">
        <f>+(K276*10+L276*20)*12*30-S75</f>
        <v>-1097293.7818827191</v>
      </c>
      <c r="AT276" s="127">
        <f t="shared" si="131"/>
        <v>1097293.7818827191</v>
      </c>
      <c r="AW276" s="63">
        <f t="shared" si="132"/>
        <v>7552741.9318827204</v>
      </c>
      <c r="AX276" s="64">
        <v>3308322.58</v>
      </c>
      <c r="AY276" s="64">
        <v>2035764.2</v>
      </c>
      <c r="AZ276" s="64">
        <v>882116.62</v>
      </c>
      <c r="BA276" s="64">
        <v>903642.16</v>
      </c>
      <c r="BB276" s="64">
        <v>0</v>
      </c>
      <c r="BC276" s="64"/>
      <c r="BD276" s="64"/>
      <c r="BE276" s="64">
        <v>0</v>
      </c>
      <c r="BF276" s="64">
        <v>0</v>
      </c>
      <c r="BG276" s="64">
        <v>0</v>
      </c>
      <c r="BH276" s="64"/>
      <c r="BI276" s="64">
        <v>0</v>
      </c>
      <c r="BJ276" s="64"/>
      <c r="BK276" s="65"/>
      <c r="BL276" s="66">
        <v>422896.37188271998</v>
      </c>
    </row>
    <row r="277" spans="1:64" x14ac:dyDescent="0.25">
      <c r="A277" s="141">
        <f t="shared" si="129"/>
        <v>259</v>
      </c>
      <c r="B277" s="142">
        <f t="shared" si="130"/>
        <v>71</v>
      </c>
      <c r="C277" s="62" t="s">
        <v>52</v>
      </c>
      <c r="D277" s="62" t="s">
        <v>743</v>
      </c>
      <c r="E277" s="123">
        <v>1985</v>
      </c>
      <c r="F277" s="123">
        <v>2013</v>
      </c>
      <c r="G277" s="123" t="s">
        <v>43</v>
      </c>
      <c r="H277" s="123">
        <v>3</v>
      </c>
      <c r="I277" s="123">
        <v>3</v>
      </c>
      <c r="J277" s="64">
        <v>1439.1</v>
      </c>
      <c r="K277" s="64">
        <v>1284.3</v>
      </c>
      <c r="L277" s="64">
        <v>0</v>
      </c>
      <c r="M277" s="124">
        <v>55</v>
      </c>
      <c r="N277" s="63">
        <f>SUM(O277:T277)</f>
        <v>41280460.663762331</v>
      </c>
      <c r="O277" s="64"/>
      <c r="P277" s="65">
        <v>3038566.1072513652</v>
      </c>
      <c r="Q277" s="65"/>
      <c r="R277" s="65">
        <f>+AQ277+AR277</f>
        <v>771312.78</v>
      </c>
      <c r="S277" s="65">
        <f>+AS277</f>
        <v>4854654</v>
      </c>
      <c r="T277" s="65">
        <f>+'Приложение №2'!E286-'Приложение №1'!P277-'Приложение №1'!R277-'Приложение №1'!S277</f>
        <v>32615927.776510961</v>
      </c>
      <c r="U277" s="65">
        <f>N277/K277</f>
        <v>32142.381580442525</v>
      </c>
      <c r="V277" s="65">
        <v>1262.2830200640001</v>
      </c>
      <c r="W277" s="126">
        <v>2023</v>
      </c>
      <c r="X277" s="127" t="e">
        <f>+#REF!-'[1]Приложение №1'!$P1012</f>
        <v>#REF!</v>
      </c>
      <c r="Z277" s="63">
        <f>SUM(AA277:AO277)</f>
        <v>17444911.509005461</v>
      </c>
      <c r="AA277" s="64">
        <v>0</v>
      </c>
      <c r="AB277" s="64">
        <v>0</v>
      </c>
      <c r="AC277" s="64">
        <v>0</v>
      </c>
      <c r="AD277" s="64">
        <v>1124212.3435180259</v>
      </c>
      <c r="AE277" s="64">
        <v>0</v>
      </c>
      <c r="AF277" s="64"/>
      <c r="AG277" s="64">
        <v>0</v>
      </c>
      <c r="AH277" s="64">
        <v>0</v>
      </c>
      <c r="AI277" s="64">
        <v>4206748.5157533297</v>
      </c>
      <c r="AJ277" s="64">
        <v>0</v>
      </c>
      <c r="AK277" s="64">
        <v>8272430.9336326644</v>
      </c>
      <c r="AL277" s="64">
        <v>3193396.3000122053</v>
      </c>
      <c r="AM277" s="64">
        <v>215153.97</v>
      </c>
      <c r="AN277" s="64">
        <v>65657.709721273903</v>
      </c>
      <c r="AO277" s="66">
        <v>367311.73636796477</v>
      </c>
      <c r="AP277" s="128">
        <f>+N277-'Приложение №2'!E286</f>
        <v>0</v>
      </c>
      <c r="AQ277" s="38">
        <v>633764.25</v>
      </c>
      <c r="AR277" s="25">
        <f>+(K277*10.5+L277*21)*12*0.85</f>
        <v>137548.53</v>
      </c>
      <c r="AS277" s="25">
        <f>+(K277*10.5+L277*21)*12*30</f>
        <v>4854654</v>
      </c>
      <c r="AT277" s="127">
        <f>+S277-AS277</f>
        <v>0</v>
      </c>
      <c r="AU277" s="127">
        <f>+P277-'[6]Приложение №1'!$P545</f>
        <v>0</v>
      </c>
      <c r="AV277" s="127">
        <f>+Q277-'[6]Приложение №1'!$Q545</f>
        <v>0</v>
      </c>
      <c r="AW277" s="88">
        <f>SUBTOTAL(9,AX277:BL277)</f>
        <v>41280460.663762331</v>
      </c>
      <c r="AX277" s="64">
        <v>0</v>
      </c>
      <c r="AY277" s="64">
        <v>0</v>
      </c>
      <c r="AZ277" s="64">
        <v>0</v>
      </c>
      <c r="BA277" s="64">
        <v>1287686.2794724151</v>
      </c>
      <c r="BB277" s="64">
        <v>0</v>
      </c>
      <c r="BC277" s="64"/>
      <c r="BD277" s="64">
        <v>0</v>
      </c>
      <c r="BE277" s="64"/>
      <c r="BF277" s="64">
        <v>14859752.82211503</v>
      </c>
      <c r="BG277" s="64">
        <v>0</v>
      </c>
      <c r="BH277" s="64">
        <v>12356333.508192455</v>
      </c>
      <c r="BI277" s="64">
        <v>11615526.323241811</v>
      </c>
      <c r="BJ277" s="64">
        <v>215153.97</v>
      </c>
      <c r="BK277" s="64">
        <f>65657.7097212739</f>
        <v>65657.709721273903</v>
      </c>
      <c r="BL277" s="66">
        <v>880350.0510193489</v>
      </c>
    </row>
    <row r="278" spans="1:64" x14ac:dyDescent="0.25">
      <c r="A278" s="141">
        <f t="shared" si="129"/>
        <v>260</v>
      </c>
      <c r="B278" s="142">
        <f t="shared" si="130"/>
        <v>72</v>
      </c>
      <c r="C278" s="62" t="s">
        <v>52</v>
      </c>
      <c r="D278" s="62" t="s">
        <v>710</v>
      </c>
      <c r="E278" s="123">
        <v>1984</v>
      </c>
      <c r="F278" s="123">
        <v>2016</v>
      </c>
      <c r="G278" s="123" t="s">
        <v>43</v>
      </c>
      <c r="H278" s="123">
        <v>9</v>
      </c>
      <c r="I278" s="123">
        <v>1</v>
      </c>
      <c r="J278" s="64">
        <v>7939.1</v>
      </c>
      <c r="K278" s="64">
        <v>4311.8999999999996</v>
      </c>
      <c r="L278" s="64">
        <v>91.2</v>
      </c>
      <c r="M278" s="124">
        <v>226</v>
      </c>
      <c r="N278" s="95">
        <f t="shared" si="126"/>
        <v>1069515.91491576</v>
      </c>
      <c r="O278" s="64"/>
      <c r="P278" s="65"/>
      <c r="Q278" s="65"/>
      <c r="R278" s="65">
        <f>+'Приложение №2'!E287</f>
        <v>1069515.91491576</v>
      </c>
      <c r="S278" s="65">
        <f>+'Приложение №2'!E287-'Приложение №1'!R278</f>
        <v>0</v>
      </c>
      <c r="T278" s="65">
        <v>0</v>
      </c>
      <c r="U278" s="64">
        <f t="shared" si="128"/>
        <v>242.9006642855625</v>
      </c>
      <c r="V278" s="64">
        <f t="shared" si="128"/>
        <v>242.9006642855625</v>
      </c>
      <c r="W278" s="126">
        <v>2023</v>
      </c>
      <c r="X278" s="127" t="e">
        <f>+#REF!-'[1]Приложение №1'!$P648</f>
        <v>#REF!</v>
      </c>
      <c r="Z278" s="63">
        <f t="shared" si="111"/>
        <v>1735600.36</v>
      </c>
      <c r="AA278" s="64">
        <v>0</v>
      </c>
      <c r="AB278" s="64">
        <v>0</v>
      </c>
      <c r="AC278" s="64">
        <v>0</v>
      </c>
      <c r="AD278" s="64">
        <v>0</v>
      </c>
      <c r="AE278" s="64">
        <v>1171936.3734842401</v>
      </c>
      <c r="AF278" s="64"/>
      <c r="AG278" s="64">
        <v>0</v>
      </c>
      <c r="AH278" s="64">
        <v>0</v>
      </c>
      <c r="AI278" s="64">
        <v>0</v>
      </c>
      <c r="AJ278" s="64">
        <v>0</v>
      </c>
      <c r="AK278" s="64">
        <v>0</v>
      </c>
      <c r="AL278" s="64">
        <v>0</v>
      </c>
      <c r="AM278" s="64">
        <v>520680.10800000001</v>
      </c>
      <c r="AN278" s="65">
        <v>17356.0036</v>
      </c>
      <c r="AO278" s="66">
        <v>25627.874915760007</v>
      </c>
      <c r="AP278" s="128">
        <f>+N278-'Приложение №2'!E287</f>
        <v>0</v>
      </c>
      <c r="AQ278" s="23">
        <v>2426110.94</v>
      </c>
      <c r="AR278" s="25">
        <f>+(K278*13.29+L278*22.52)*12*0.85</f>
        <v>605461.54499999993</v>
      </c>
      <c r="AS278" s="25">
        <f>+(K278*13.29+L278*22.52)*12*30</f>
        <v>21369231</v>
      </c>
      <c r="AT278" s="127">
        <f t="shared" si="131"/>
        <v>-21369231</v>
      </c>
      <c r="AU278" s="127">
        <f>+P278-'[6]Приложение №1'!$P269</f>
        <v>0</v>
      </c>
      <c r="AV278" s="127">
        <f>+Q278-'[6]Приложение №1'!$Q269</f>
        <v>0</v>
      </c>
      <c r="AW278" s="63">
        <f t="shared" si="132"/>
        <v>1069515.91491576</v>
      </c>
      <c r="AX278" s="64">
        <v>0</v>
      </c>
      <c r="AY278" s="64">
        <v>0</v>
      </c>
      <c r="AZ278" s="64">
        <v>0</v>
      </c>
      <c r="BA278" s="64">
        <v>0</v>
      </c>
      <c r="BB278" s="64">
        <v>1043888.04</v>
      </c>
      <c r="BC278" s="64"/>
      <c r="BD278" s="64"/>
      <c r="BE278" s="64">
        <v>0</v>
      </c>
      <c r="BF278" s="64">
        <v>0</v>
      </c>
      <c r="BG278" s="64">
        <v>0</v>
      </c>
      <c r="BH278" s="64">
        <v>0</v>
      </c>
      <c r="BI278" s="64">
        <v>0</v>
      </c>
      <c r="BJ278" s="64"/>
      <c r="BK278" s="65"/>
      <c r="BL278" s="66">
        <v>25627.874915760007</v>
      </c>
    </row>
    <row r="279" spans="1:64" x14ac:dyDescent="0.25">
      <c r="A279" s="141">
        <f t="shared" si="129"/>
        <v>261</v>
      </c>
      <c r="B279" s="142">
        <f t="shared" si="130"/>
        <v>73</v>
      </c>
      <c r="C279" s="62" t="s">
        <v>52</v>
      </c>
      <c r="D279" s="62" t="s">
        <v>745</v>
      </c>
      <c r="E279" s="123">
        <v>1972</v>
      </c>
      <c r="F279" s="123">
        <v>2013</v>
      </c>
      <c r="G279" s="123" t="s">
        <v>43</v>
      </c>
      <c r="H279" s="123">
        <v>5</v>
      </c>
      <c r="I279" s="123">
        <v>2</v>
      </c>
      <c r="J279" s="64">
        <v>3331.95</v>
      </c>
      <c r="K279" s="64">
        <v>2549.4499999999998</v>
      </c>
      <c r="L279" s="64">
        <v>780.8</v>
      </c>
      <c r="M279" s="124">
        <v>190</v>
      </c>
      <c r="N279" s="63">
        <f>SUM(O279:T279)</f>
        <v>3255744.9401735002</v>
      </c>
      <c r="O279" s="64"/>
      <c r="P279" s="65"/>
      <c r="Q279" s="65"/>
      <c r="R279" s="65">
        <v>2221077.79</v>
      </c>
      <c r="S279" s="65">
        <v>42028.46</v>
      </c>
      <c r="T279" s="65">
        <f>+'Приложение №2'!E288-'Приложение №1'!P279-'Приложение №1'!R279-'Приложение №1'!S279</f>
        <v>992638.69017350022</v>
      </c>
      <c r="U279" s="65">
        <f>N279/K279</f>
        <v>1277.0381612400715</v>
      </c>
      <c r="V279" s="65">
        <v>1264.2830200640001</v>
      </c>
      <c r="W279" s="126">
        <v>2023</v>
      </c>
      <c r="X279" s="127" t="e">
        <f>+#REF!-'[1]Приложение №1'!$P399</f>
        <v>#REF!</v>
      </c>
      <c r="Z279" s="63">
        <f>SUM(AA279:AO279)</f>
        <v>34440876.640000001</v>
      </c>
      <c r="AA279" s="64">
        <v>0</v>
      </c>
      <c r="AB279" s="64">
        <v>2166113.1307510799</v>
      </c>
      <c r="AC279" s="64">
        <v>2263106.2523264997</v>
      </c>
      <c r="AD279" s="64">
        <v>1416847.6029254398</v>
      </c>
      <c r="AE279" s="64">
        <v>866879.08268850006</v>
      </c>
      <c r="AF279" s="64"/>
      <c r="AG279" s="64">
        <v>0</v>
      </c>
      <c r="AH279" s="64">
        <v>0</v>
      </c>
      <c r="AI279" s="64">
        <v>11112903.524356199</v>
      </c>
      <c r="AJ279" s="64">
        <v>0</v>
      </c>
      <c r="AK279" s="64">
        <v>5769870.9583057202</v>
      </c>
      <c r="AL279" s="64">
        <v>6223481.2118761791</v>
      </c>
      <c r="AM279" s="64">
        <v>3625180.5618999996</v>
      </c>
      <c r="AN279" s="65">
        <v>344408.76640000002</v>
      </c>
      <c r="AO279" s="66">
        <v>652085.54847038013</v>
      </c>
      <c r="AP279" s="128">
        <f>+N279-'Приложение №2'!E288</f>
        <v>0</v>
      </c>
      <c r="AQ279" s="38">
        <v>2364830.67</v>
      </c>
      <c r="AR279" s="25">
        <f>+(K279*10.5+L279*21)*12*0.85</f>
        <v>440293.45499999996</v>
      </c>
      <c r="AS279" s="25">
        <f>+(K279*10.5+L279*21)*12*30</f>
        <v>15539768.999999998</v>
      </c>
      <c r="AT279" s="127">
        <f>+S279-AS279</f>
        <v>-15497740.539999997</v>
      </c>
      <c r="AU279" s="127">
        <f>+P279-'[6]Приложение №1'!$P547</f>
        <v>0</v>
      </c>
      <c r="AV279" s="127">
        <f>+Q279-'[6]Приложение №1'!$Q547</f>
        <v>0</v>
      </c>
      <c r="AW279" s="88">
        <f>SUBTOTAL(9,AX279:BL279)</f>
        <v>3255744.9401735002</v>
      </c>
      <c r="AX279" s="64">
        <v>0</v>
      </c>
      <c r="AY279" s="64"/>
      <c r="AZ279" s="64">
        <v>3206255.39</v>
      </c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5"/>
      <c r="BL279" s="66">
        <v>49489.550173499993</v>
      </c>
    </row>
    <row r="280" spans="1:64" x14ac:dyDescent="0.25">
      <c r="A280" s="141">
        <f t="shared" si="129"/>
        <v>262</v>
      </c>
      <c r="B280" s="142">
        <f t="shared" si="130"/>
        <v>74</v>
      </c>
      <c r="C280" s="62" t="s">
        <v>52</v>
      </c>
      <c r="D280" s="62" t="s">
        <v>711</v>
      </c>
      <c r="E280" s="123">
        <v>1982</v>
      </c>
      <c r="F280" s="123">
        <v>2016</v>
      </c>
      <c r="G280" s="123" t="s">
        <v>43</v>
      </c>
      <c r="H280" s="123">
        <v>9</v>
      </c>
      <c r="I280" s="123">
        <v>1</v>
      </c>
      <c r="J280" s="64">
        <v>7939.1</v>
      </c>
      <c r="K280" s="64">
        <v>4285</v>
      </c>
      <c r="L280" s="64">
        <v>172.8</v>
      </c>
      <c r="M280" s="124">
        <v>234</v>
      </c>
      <c r="N280" s="95">
        <f t="shared" si="126"/>
        <v>1137882.68042862</v>
      </c>
      <c r="O280" s="64"/>
      <c r="P280" s="65"/>
      <c r="Q280" s="65"/>
      <c r="R280" s="65">
        <f>+'Приложение №2'!E289</f>
        <v>1137882.68042862</v>
      </c>
      <c r="S280" s="65">
        <f>+'Приложение №2'!E289-'Приложение №1'!R280</f>
        <v>0</v>
      </c>
      <c r="T280" s="65">
        <v>0</v>
      </c>
      <c r="U280" s="64">
        <f t="shared" si="128"/>
        <v>255.25655714222708</v>
      </c>
      <c r="V280" s="64">
        <f t="shared" si="128"/>
        <v>255.25655714222708</v>
      </c>
      <c r="W280" s="126">
        <v>2023</v>
      </c>
      <c r="X280" s="127" t="e">
        <f>+#REF!-'[1]Приложение №1'!$P650</f>
        <v>#REF!</v>
      </c>
      <c r="Z280" s="63">
        <f t="shared" si="111"/>
        <v>1718282.57</v>
      </c>
      <c r="AA280" s="64">
        <v>0</v>
      </c>
      <c r="AB280" s="64">
        <v>0</v>
      </c>
      <c r="AC280" s="64">
        <v>0</v>
      </c>
      <c r="AD280" s="64">
        <v>0</v>
      </c>
      <c r="AE280" s="64">
        <v>1160242.8128713802</v>
      </c>
      <c r="AF280" s="64"/>
      <c r="AG280" s="64">
        <v>0</v>
      </c>
      <c r="AH280" s="64">
        <v>0</v>
      </c>
      <c r="AI280" s="64">
        <v>0</v>
      </c>
      <c r="AJ280" s="64">
        <v>0</v>
      </c>
      <c r="AK280" s="64">
        <v>0</v>
      </c>
      <c r="AL280" s="64">
        <v>0</v>
      </c>
      <c r="AM280" s="64">
        <v>515484.77100000001</v>
      </c>
      <c r="AN280" s="65">
        <v>17182.825700000001</v>
      </c>
      <c r="AO280" s="66">
        <v>25372.160428620005</v>
      </c>
      <c r="AP280" s="128">
        <f>+N280-'Приложение №2'!E289</f>
        <v>0</v>
      </c>
      <c r="AQ280" s="23">
        <v>2596440.5499999998</v>
      </c>
      <c r="AR280" s="25">
        <f>+(K280*13.29+L280*22.52)*12*0.85</f>
        <v>620558.88119999983</v>
      </c>
      <c r="AS280" s="25">
        <f>+(K280*13.29+L280*22.52)*12*30</f>
        <v>21902078.159999996</v>
      </c>
      <c r="AT280" s="127">
        <f t="shared" si="131"/>
        <v>-21902078.159999996</v>
      </c>
      <c r="AU280" s="127">
        <f>+P280-'[6]Приложение №1'!$P270</f>
        <v>0</v>
      </c>
      <c r="AV280" s="127">
        <f>+Q280-'[6]Приложение №1'!$Q270</f>
        <v>0</v>
      </c>
      <c r="AW280" s="63">
        <f t="shared" si="132"/>
        <v>1137882.68042862</v>
      </c>
      <c r="AX280" s="64">
        <v>0</v>
      </c>
      <c r="AY280" s="64">
        <v>0</v>
      </c>
      <c r="AZ280" s="64">
        <v>0</v>
      </c>
      <c r="BA280" s="64">
        <v>0</v>
      </c>
      <c r="BB280" s="64">
        <v>1112510.52</v>
      </c>
      <c r="BC280" s="64"/>
      <c r="BD280" s="64"/>
      <c r="BE280" s="64">
        <v>0</v>
      </c>
      <c r="BF280" s="64">
        <v>0</v>
      </c>
      <c r="BG280" s="64">
        <v>0</v>
      </c>
      <c r="BH280" s="64">
        <v>0</v>
      </c>
      <c r="BI280" s="64">
        <v>0</v>
      </c>
      <c r="BJ280" s="64"/>
      <c r="BK280" s="65"/>
      <c r="BL280" s="66">
        <v>25372.160428620005</v>
      </c>
    </row>
    <row r="281" spans="1:64" x14ac:dyDescent="0.25">
      <c r="A281" s="141">
        <f t="shared" si="129"/>
        <v>263</v>
      </c>
      <c r="B281" s="142">
        <f t="shared" si="130"/>
        <v>75</v>
      </c>
      <c r="C281" s="62" t="s">
        <v>52</v>
      </c>
      <c r="D281" s="62" t="s">
        <v>1076</v>
      </c>
      <c r="E281" s="123">
        <v>1974</v>
      </c>
      <c r="F281" s="123">
        <v>2013</v>
      </c>
      <c r="G281" s="123" t="s">
        <v>43</v>
      </c>
      <c r="H281" s="123">
        <v>4</v>
      </c>
      <c r="I281" s="123">
        <v>4</v>
      </c>
      <c r="J281" s="64">
        <v>4783.3599999999997</v>
      </c>
      <c r="K281" s="64">
        <v>3510.2</v>
      </c>
      <c r="L281" s="64">
        <v>0</v>
      </c>
      <c r="M281" s="124">
        <v>164</v>
      </c>
      <c r="N281" s="95">
        <f t="shared" si="126"/>
        <v>1319013.2964199998</v>
      </c>
      <c r="O281" s="64"/>
      <c r="P281" s="65"/>
      <c r="Q281" s="65"/>
      <c r="R281" s="65">
        <f t="shared" ref="R281:R286" si="134">+AQ281+AR281</f>
        <v>909628.81999999983</v>
      </c>
      <c r="S281" s="65">
        <f>+'Приложение №2'!E290-'Приложение №1'!R281</f>
        <v>409384.47641999996</v>
      </c>
      <c r="T281" s="65">
        <v>0</v>
      </c>
      <c r="U281" s="64">
        <f t="shared" si="128"/>
        <v>375.76585277761944</v>
      </c>
      <c r="V281" s="64">
        <f t="shared" si="128"/>
        <v>375.76585277761944</v>
      </c>
      <c r="W281" s="126">
        <v>2023</v>
      </c>
      <c r="X281" s="127" t="e">
        <f>+#REF!-'[1]Приложение №1'!$P652</f>
        <v>#REF!</v>
      </c>
      <c r="Z281" s="63">
        <f t="shared" si="111"/>
        <v>10786909.546420002</v>
      </c>
      <c r="AA281" s="64">
        <v>0</v>
      </c>
      <c r="AB281" s="64">
        <v>0</v>
      </c>
      <c r="AC281" s="64">
        <v>0</v>
      </c>
      <c r="AD281" s="64">
        <v>0</v>
      </c>
      <c r="AE281" s="64">
        <v>1314097.3999999999</v>
      </c>
      <c r="AF281" s="64"/>
      <c r="AG281" s="64">
        <v>0</v>
      </c>
      <c r="AH281" s="64">
        <v>0</v>
      </c>
      <c r="AI281" s="64">
        <v>0</v>
      </c>
      <c r="AJ281" s="64">
        <v>0</v>
      </c>
      <c r="AK281" s="64">
        <v>0</v>
      </c>
      <c r="AL281" s="64">
        <v>8060676.2652087007</v>
      </c>
      <c r="AM281" s="64">
        <v>1135899.3550000002</v>
      </c>
      <c r="AN281" s="65">
        <v>95049.965500000006</v>
      </c>
      <c r="AO281" s="66">
        <v>181186.5607113</v>
      </c>
      <c r="AP281" s="128">
        <f>+N281-'Приложение №2'!E290</f>
        <v>0</v>
      </c>
      <c r="AQ281" s="23">
        <f>1511669.96-960081.54</f>
        <v>551588.41999999993</v>
      </c>
      <c r="AR281" s="25">
        <f t="shared" ref="AR281:AR303" si="135">+(K281*10+L281*20)*12*0.85</f>
        <v>358040.39999999997</v>
      </c>
      <c r="AS281" s="25">
        <f>+(K281*10+L281*20)*12*30-10097.67</f>
        <v>12626622.33</v>
      </c>
      <c r="AT281" s="127">
        <f t="shared" si="131"/>
        <v>-12217237.85358</v>
      </c>
      <c r="AU281" s="127">
        <f>+P281-'[6]Приложение №1'!$P271</f>
        <v>0</v>
      </c>
      <c r="AV281" s="127">
        <f>+Q281-'[6]Приложение №1'!$Q271</f>
        <v>0</v>
      </c>
      <c r="AW281" s="63">
        <f t="shared" si="132"/>
        <v>1319013.2964199998</v>
      </c>
      <c r="AX281" s="64">
        <v>0</v>
      </c>
      <c r="AY281" s="64">
        <v>0</v>
      </c>
      <c r="AZ281" s="64">
        <v>0</v>
      </c>
      <c r="BA281" s="64">
        <v>0</v>
      </c>
      <c r="BB281" s="64">
        <v>1314097.3999999999</v>
      </c>
      <c r="BC281" s="64"/>
      <c r="BD281" s="64"/>
      <c r="BE281" s="64">
        <v>0</v>
      </c>
      <c r="BF281" s="64">
        <v>0</v>
      </c>
      <c r="BG281" s="64">
        <v>0</v>
      </c>
      <c r="BH281" s="64">
        <v>0</v>
      </c>
      <c r="BI281" s="64"/>
      <c r="BJ281" s="64"/>
      <c r="BK281" s="65"/>
      <c r="BL281" s="66">
        <v>4915.89642</v>
      </c>
    </row>
    <row r="282" spans="1:64" s="74" customFormat="1" x14ac:dyDescent="0.25">
      <c r="A282" s="141">
        <f t="shared" si="129"/>
        <v>264</v>
      </c>
      <c r="B282" s="142">
        <f t="shared" si="130"/>
        <v>76</v>
      </c>
      <c r="C282" s="62" t="s">
        <v>52</v>
      </c>
      <c r="D282" s="62" t="s">
        <v>712</v>
      </c>
      <c r="E282" s="123" t="s">
        <v>116</v>
      </c>
      <c r="F282" s="123"/>
      <c r="G282" s="123" t="s">
        <v>43</v>
      </c>
      <c r="H282" s="123" t="s">
        <v>105</v>
      </c>
      <c r="I282" s="123" t="s">
        <v>109</v>
      </c>
      <c r="J282" s="64">
        <v>5658.4</v>
      </c>
      <c r="K282" s="64">
        <v>4959.8999999999996</v>
      </c>
      <c r="L282" s="64">
        <v>0</v>
      </c>
      <c r="M282" s="124">
        <v>203</v>
      </c>
      <c r="N282" s="95">
        <f t="shared" si="126"/>
        <v>5459436.29</v>
      </c>
      <c r="O282" s="64">
        <v>0</v>
      </c>
      <c r="P282" s="65"/>
      <c r="Q282" s="65">
        <v>0</v>
      </c>
      <c r="R282" s="65">
        <f t="shared" si="134"/>
        <v>2621887.21</v>
      </c>
      <c r="S282" s="65">
        <f>+'Приложение №2'!E291-'Приложение №1'!R282</f>
        <v>2837549.08</v>
      </c>
      <c r="T282" s="65">
        <v>0</v>
      </c>
      <c r="U282" s="64">
        <f t="shared" si="128"/>
        <v>1100.7149922377469</v>
      </c>
      <c r="V282" s="64">
        <f t="shared" si="128"/>
        <v>1100.7149922377469</v>
      </c>
      <c r="W282" s="126">
        <v>2023</v>
      </c>
      <c r="X282" s="74">
        <v>1826494.26</v>
      </c>
      <c r="Y282" s="74">
        <f>+(K282*9.1+L282*18.19)*12</f>
        <v>541621.07999999996</v>
      </c>
      <c r="AA282" s="129">
        <f>+N282-'[5]Приложение № 2'!E260</f>
        <v>3749161.0999999996</v>
      </c>
      <c r="AD282" s="129">
        <f>+N282-'[5]Приложение № 2'!E260</f>
        <v>3749161.0999999996</v>
      </c>
      <c r="AP282" s="128">
        <f>+N282-'Приложение №2'!E291</f>
        <v>0</v>
      </c>
      <c r="AQ282" s="74">
        <f>2320931.87-204954.46</f>
        <v>2115977.41</v>
      </c>
      <c r="AR282" s="25">
        <f t="shared" si="135"/>
        <v>505909.8</v>
      </c>
      <c r="AS282" s="25">
        <f>+(K282*10+L282*20)*12*30-70591.75</f>
        <v>17785048.25</v>
      </c>
      <c r="AT282" s="127">
        <f t="shared" si="131"/>
        <v>-14947499.17</v>
      </c>
      <c r="AU282" s="127">
        <f>+P282-'[6]Приложение №1'!$P272</f>
        <v>0</v>
      </c>
      <c r="AV282" s="127">
        <f>+Q282-'[6]Приложение №1'!$Q272</f>
        <v>0</v>
      </c>
      <c r="AW282" s="63">
        <f t="shared" si="132"/>
        <v>5459436.29</v>
      </c>
      <c r="AX282" s="64"/>
      <c r="AY282" s="64">
        <v>5131838.1197179221</v>
      </c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>
        <v>191375.2643328</v>
      </c>
      <c r="BK282" s="65">
        <v>24000</v>
      </c>
      <c r="BL282" s="66">
        <v>112222.90594927808</v>
      </c>
    </row>
    <row r="283" spans="1:64" s="74" customFormat="1" x14ac:dyDescent="0.25">
      <c r="A283" s="141">
        <f t="shared" si="129"/>
        <v>265</v>
      </c>
      <c r="B283" s="142">
        <f t="shared" si="130"/>
        <v>77</v>
      </c>
      <c r="C283" s="62" t="s">
        <v>52</v>
      </c>
      <c r="D283" s="62" t="s">
        <v>713</v>
      </c>
      <c r="E283" s="123" t="s">
        <v>117</v>
      </c>
      <c r="F283" s="123"/>
      <c r="G283" s="123" t="s">
        <v>43</v>
      </c>
      <c r="H283" s="123" t="s">
        <v>105</v>
      </c>
      <c r="I283" s="123" t="s">
        <v>105</v>
      </c>
      <c r="J283" s="64">
        <v>4040.3</v>
      </c>
      <c r="K283" s="64">
        <v>3442.7</v>
      </c>
      <c r="L283" s="64">
        <v>0</v>
      </c>
      <c r="M283" s="124">
        <v>150</v>
      </c>
      <c r="N283" s="95">
        <f t="shared" si="126"/>
        <v>3841382.1100000003</v>
      </c>
      <c r="O283" s="64">
        <v>0</v>
      </c>
      <c r="P283" s="65"/>
      <c r="Q283" s="65">
        <v>0</v>
      </c>
      <c r="R283" s="65">
        <f t="shared" si="134"/>
        <v>1965896.65</v>
      </c>
      <c r="S283" s="65">
        <f>+'Приложение №2'!E292-'Приложение №1'!R283</f>
        <v>1875485.4600000004</v>
      </c>
      <c r="T283" s="65">
        <v>0</v>
      </c>
      <c r="U283" s="64">
        <f t="shared" si="128"/>
        <v>1115.8050686960817</v>
      </c>
      <c r="V283" s="64">
        <f t="shared" si="128"/>
        <v>1115.8050686960817</v>
      </c>
      <c r="W283" s="126">
        <v>2023</v>
      </c>
      <c r="X283" s="74">
        <v>1285748.18</v>
      </c>
      <c r="Y283" s="74">
        <f>+(K283*9.1+L283*18.19)*12</f>
        <v>375942.83999999997</v>
      </c>
      <c r="AA283" s="129">
        <f>+N283-'[5]Приложение № 2'!E261</f>
        <v>2023581.9600000004</v>
      </c>
      <c r="AD283" s="129">
        <f>+N283-'[5]Приложение № 2'!E261</f>
        <v>2023581.9600000004</v>
      </c>
      <c r="AP283" s="128">
        <f>+N283-'Приложение №2'!E292</f>
        <v>0</v>
      </c>
      <c r="AQ283" s="74">
        <v>1614741.25</v>
      </c>
      <c r="AR283" s="25">
        <f t="shared" si="135"/>
        <v>351155.39999999997</v>
      </c>
      <c r="AS283" s="25">
        <f>+(K283*10+L283*20)*12*30</f>
        <v>12393720</v>
      </c>
      <c r="AT283" s="127">
        <f t="shared" si="131"/>
        <v>-10518234.539999999</v>
      </c>
      <c r="AU283" s="127">
        <f>+P283-'[6]Приложение №1'!$P273</f>
        <v>0</v>
      </c>
      <c r="AV283" s="127">
        <f>+Q283-'[6]Приложение №1'!$Q273</f>
        <v>0</v>
      </c>
      <c r="AW283" s="63">
        <f t="shared" si="132"/>
        <v>3841382.1100000003</v>
      </c>
      <c r="AX283" s="64"/>
      <c r="AY283" s="64">
        <v>3569615.4462360675</v>
      </c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>
        <v>169706.40364800001</v>
      </c>
      <c r="BK283" s="65">
        <v>24000</v>
      </c>
      <c r="BL283" s="66">
        <v>78060.26011593279</v>
      </c>
    </row>
    <row r="284" spans="1:64" s="74" customFormat="1" x14ac:dyDescent="0.25">
      <c r="A284" s="141">
        <f t="shared" si="129"/>
        <v>266</v>
      </c>
      <c r="B284" s="142">
        <f t="shared" si="130"/>
        <v>78</v>
      </c>
      <c r="C284" s="62" t="s">
        <v>52</v>
      </c>
      <c r="D284" s="62" t="s">
        <v>746</v>
      </c>
      <c r="E284" s="123" t="s">
        <v>131</v>
      </c>
      <c r="F284" s="123"/>
      <c r="G284" s="123" t="s">
        <v>43</v>
      </c>
      <c r="H284" s="123" t="s">
        <v>105</v>
      </c>
      <c r="I284" s="123" t="s">
        <v>98</v>
      </c>
      <c r="J284" s="64">
        <v>1276.4000000000001</v>
      </c>
      <c r="K284" s="64">
        <v>1181.5</v>
      </c>
      <c r="L284" s="64">
        <v>48.4</v>
      </c>
      <c r="M284" s="124">
        <v>69</v>
      </c>
      <c r="N284" s="63">
        <f t="shared" ref="N284" si="136">SUM(O284:T284)</f>
        <v>7316631.4718352174</v>
      </c>
      <c r="O284" s="64">
        <v>0</v>
      </c>
      <c r="P284" s="65">
        <f>+'Приложение №2'!E293-'Приложение №1'!R284-'Приложение №1'!S284</f>
        <v>1659806.6518352171</v>
      </c>
      <c r="Q284" s="65">
        <v>0</v>
      </c>
      <c r="R284" s="65">
        <f t="shared" si="134"/>
        <v>824850.82000000007</v>
      </c>
      <c r="S284" s="65">
        <f>+AS284</f>
        <v>4831974</v>
      </c>
      <c r="T284" s="65">
        <f>+'Приложение №2'!E293-'Приложение №1'!P284-'Приложение №1'!R284-'Приложение №1'!S284</f>
        <v>0</v>
      </c>
      <c r="U284" s="65">
        <f t="shared" ref="U284" si="137">N284/K284</f>
        <v>6192.6631162380172</v>
      </c>
      <c r="V284" s="65">
        <v>1267.2830200640001</v>
      </c>
      <c r="W284" s="126">
        <v>2023</v>
      </c>
      <c r="X284" s="74">
        <v>424539.75</v>
      </c>
      <c r="Y284" s="74">
        <f>+(K284*9.1+L284*18.19)*12</f>
        <v>139584.552</v>
      </c>
      <c r="AA284" s="129">
        <f>+N284-'[5]Приложение № 2'!E240</f>
        <v>7316631.4718352174</v>
      </c>
      <c r="AD284" s="129">
        <f>+N284-'[5]Приложение № 2'!E240</f>
        <v>7316631.4718352174</v>
      </c>
      <c r="AP284" s="128">
        <f>+N284-'Приложение №2'!E293</f>
        <v>0</v>
      </c>
      <c r="AQ284" s="38">
        <v>687944.89</v>
      </c>
      <c r="AR284" s="25">
        <f t="shared" ref="AR284" si="138">+(K284*10.5+L284*21)*12*0.85</f>
        <v>136905.93</v>
      </c>
      <c r="AS284" s="25">
        <f t="shared" ref="AS284" si="139">+(K284*10.5+L284*21)*12*30</f>
        <v>4831974</v>
      </c>
      <c r="AT284" s="127">
        <f t="shared" si="131"/>
        <v>0</v>
      </c>
      <c r="AU284" s="127">
        <f>+P284-'[6]Приложение №1'!$P275</f>
        <v>-483439.46496478235</v>
      </c>
      <c r="AV284" s="127">
        <f>+Q284-'[6]Приложение №1'!$Q275</f>
        <v>0</v>
      </c>
      <c r="AW284" s="88">
        <f t="shared" si="132"/>
        <v>7316631.4718352174</v>
      </c>
      <c r="AX284" s="64"/>
      <c r="AY284" s="64"/>
      <c r="AZ284" s="64">
        <v>1175152.5274663931</v>
      </c>
      <c r="BA284" s="64"/>
      <c r="BB284" s="64"/>
      <c r="BC284" s="64"/>
      <c r="BD284" s="64"/>
      <c r="BE284" s="64">
        <v>0</v>
      </c>
      <c r="BF284" s="64">
        <v>5747272.2854321953</v>
      </c>
      <c r="BG284" s="64">
        <v>0</v>
      </c>
      <c r="BH284" s="64"/>
      <c r="BI284" s="64"/>
      <c r="BJ284" s="64"/>
      <c r="BK284" s="65"/>
      <c r="BL284" s="66">
        <v>394206.65893662942</v>
      </c>
    </row>
    <row r="285" spans="1:64" x14ac:dyDescent="0.25">
      <c r="A285" s="141">
        <f t="shared" si="129"/>
        <v>267</v>
      </c>
      <c r="B285" s="142">
        <f t="shared" si="130"/>
        <v>79</v>
      </c>
      <c r="C285" s="62" t="s">
        <v>52</v>
      </c>
      <c r="D285" s="62" t="s">
        <v>714</v>
      </c>
      <c r="E285" s="123">
        <v>1973</v>
      </c>
      <c r="F285" s="123">
        <v>2013</v>
      </c>
      <c r="G285" s="123" t="s">
        <v>43</v>
      </c>
      <c r="H285" s="123">
        <v>5</v>
      </c>
      <c r="I285" s="123">
        <v>6</v>
      </c>
      <c r="J285" s="64">
        <v>5136.8500000000004</v>
      </c>
      <c r="K285" s="64">
        <v>4692.05</v>
      </c>
      <c r="L285" s="64">
        <v>0</v>
      </c>
      <c r="M285" s="124">
        <v>215</v>
      </c>
      <c r="N285" s="95">
        <f t="shared" si="126"/>
        <v>13560327.751967881</v>
      </c>
      <c r="O285" s="64"/>
      <c r="P285" s="65"/>
      <c r="Q285" s="65"/>
      <c r="R285" s="65">
        <f t="shared" si="134"/>
        <v>2763756.33</v>
      </c>
      <c r="S285" s="65">
        <f>+'Приложение №2'!E294-'Приложение №1'!R285</f>
        <v>10796571.421967881</v>
      </c>
      <c r="T285" s="65">
        <v>0</v>
      </c>
      <c r="U285" s="64">
        <f t="shared" si="128"/>
        <v>2890.0646310179732</v>
      </c>
      <c r="V285" s="64">
        <f t="shared" si="128"/>
        <v>2890.0646310179732</v>
      </c>
      <c r="W285" s="126">
        <v>2023</v>
      </c>
      <c r="X285" s="127" t="e">
        <f>+#REF!-'[1]Приложение №1'!$P653</f>
        <v>#REF!</v>
      </c>
      <c r="Z285" s="63">
        <f t="shared" ref="Z285:Z303" si="140">SUM(AA285:AO285)</f>
        <v>27853394.144955996</v>
      </c>
      <c r="AA285" s="64">
        <v>0</v>
      </c>
      <c r="AB285" s="64">
        <v>0</v>
      </c>
      <c r="AC285" s="64">
        <v>0</v>
      </c>
      <c r="AD285" s="64">
        <v>0</v>
      </c>
      <c r="AE285" s="64">
        <v>1990543.04</v>
      </c>
      <c r="AF285" s="64"/>
      <c r="AG285" s="64">
        <v>0</v>
      </c>
      <c r="AH285" s="64">
        <v>0</v>
      </c>
      <c r="AI285" s="64">
        <v>0</v>
      </c>
      <c r="AJ285" s="64">
        <v>0</v>
      </c>
      <c r="AK285" s="64">
        <v>10718809.191245399</v>
      </c>
      <c r="AL285" s="64">
        <v>11561490.38701188</v>
      </c>
      <c r="AM285" s="64">
        <v>2826217.2920000004</v>
      </c>
      <c r="AN285" s="65">
        <v>260814.88320000001</v>
      </c>
      <c r="AO285" s="66">
        <v>495519.35149872006</v>
      </c>
      <c r="AP285" s="128">
        <f>+N285-'Приложение №2'!E294</f>
        <v>0</v>
      </c>
      <c r="AQ285" s="23">
        <v>2285167.23</v>
      </c>
      <c r="AR285" s="25">
        <f t="shared" si="135"/>
        <v>478589.1</v>
      </c>
      <c r="AS285" s="25">
        <f>+(K285*10+L285*20)*12*30</f>
        <v>16891380</v>
      </c>
      <c r="AT285" s="127">
        <f t="shared" si="131"/>
        <v>-6094808.5780321192</v>
      </c>
      <c r="AU285" s="127">
        <f>+P285-'[6]Приложение №1'!$P274</f>
        <v>-2983667.61</v>
      </c>
      <c r="AV285" s="127">
        <f>+Q285-'[6]Приложение №1'!$Q274</f>
        <v>0</v>
      </c>
      <c r="AW285" s="63">
        <f t="shared" si="132"/>
        <v>13560327.751967881</v>
      </c>
      <c r="AX285" s="64">
        <v>0</v>
      </c>
      <c r="AY285" s="64">
        <v>0</v>
      </c>
      <c r="AZ285" s="64">
        <v>0</v>
      </c>
      <c r="BA285" s="64">
        <v>0</v>
      </c>
      <c r="BB285" s="64">
        <v>1990543.04</v>
      </c>
      <c r="BC285" s="64"/>
      <c r="BD285" s="64"/>
      <c r="BE285" s="64">
        <v>0</v>
      </c>
      <c r="BF285" s="64">
        <v>0</v>
      </c>
      <c r="BG285" s="64">
        <v>0</v>
      </c>
      <c r="BH285" s="64"/>
      <c r="BI285" s="64">
        <v>11561490.38701188</v>
      </c>
      <c r="BJ285" s="64"/>
      <c r="BK285" s="65"/>
      <c r="BL285" s="66">
        <v>8294.3249559999986</v>
      </c>
    </row>
    <row r="286" spans="1:64" x14ac:dyDescent="0.25">
      <c r="A286" s="141">
        <f t="shared" si="129"/>
        <v>268</v>
      </c>
      <c r="B286" s="142">
        <f t="shared" si="130"/>
        <v>80</v>
      </c>
      <c r="C286" s="62" t="s">
        <v>52</v>
      </c>
      <c r="D286" s="62" t="s">
        <v>1077</v>
      </c>
      <c r="E286" s="123">
        <v>1986</v>
      </c>
      <c r="F286" s="123">
        <v>2005</v>
      </c>
      <c r="G286" s="123" t="s">
        <v>43</v>
      </c>
      <c r="H286" s="123">
        <v>5</v>
      </c>
      <c r="I286" s="123">
        <v>3</v>
      </c>
      <c r="J286" s="64">
        <v>5898.64</v>
      </c>
      <c r="K286" s="64">
        <v>4269.5</v>
      </c>
      <c r="L286" s="64">
        <v>369.2</v>
      </c>
      <c r="M286" s="124">
        <v>316</v>
      </c>
      <c r="N286" s="63">
        <f>SUM(O286:T286)</f>
        <v>48200635.31805627</v>
      </c>
      <c r="O286" s="64"/>
      <c r="P286" s="65">
        <v>1393879.43</v>
      </c>
      <c r="Q286" s="65"/>
      <c r="R286" s="65">
        <f t="shared" si="134"/>
        <v>3388186.51</v>
      </c>
      <c r="S286" s="65">
        <f>+AS286</f>
        <v>18929861.999999996</v>
      </c>
      <c r="T286" s="65">
        <f>+'Приложение №2'!E295-'Приложение №1'!P286-'Приложение №1'!R286-'Приложение №1'!S286</f>
        <v>24488707.378056269</v>
      </c>
      <c r="U286" s="65">
        <f>N286/K286</f>
        <v>11289.526951178421</v>
      </c>
      <c r="V286" s="65">
        <v>1270.2830200640001</v>
      </c>
      <c r="W286" s="126">
        <v>2023</v>
      </c>
      <c r="X286" s="127" t="e">
        <f>+#REF!-'[1]Приложение №1'!$P1017</f>
        <v>#REF!</v>
      </c>
      <c r="Z286" s="63">
        <f>SUM(AA286:AO286)</f>
        <v>52616181.970000006</v>
      </c>
      <c r="AA286" s="64">
        <v>12089576.8229145</v>
      </c>
      <c r="AB286" s="64">
        <v>4308013.2351488397</v>
      </c>
      <c r="AC286" s="64">
        <v>4500915.2712127808</v>
      </c>
      <c r="AD286" s="64">
        <v>2817857.5473652803</v>
      </c>
      <c r="AE286" s="64">
        <v>0</v>
      </c>
      <c r="AF286" s="64"/>
      <c r="AG286" s="64">
        <v>463910.16369684006</v>
      </c>
      <c r="AH286" s="64">
        <v>0</v>
      </c>
      <c r="AI286" s="64">
        <v>22101585.911395203</v>
      </c>
      <c r="AJ286" s="64">
        <v>0</v>
      </c>
      <c r="AK286" s="64">
        <v>0</v>
      </c>
      <c r="AL286" s="64">
        <v>0</v>
      </c>
      <c r="AM286" s="64">
        <v>4796070.6798999999</v>
      </c>
      <c r="AN286" s="65">
        <v>526161.81969999999</v>
      </c>
      <c r="AO286" s="66">
        <v>1012090.5186665601</v>
      </c>
      <c r="AP286" s="128">
        <f>+N286-'Приложение №2'!E295</f>
        <v>0</v>
      </c>
      <c r="AQ286" s="38">
        <v>2851840.42</v>
      </c>
      <c r="AR286" s="25">
        <f>+(K286*10.5+L286*21)*12*0.85</f>
        <v>536346.08999999985</v>
      </c>
      <c r="AS286" s="25">
        <f>+(K286*10.5+L286*21)*12*30</f>
        <v>18929861.999999996</v>
      </c>
      <c r="AT286" s="127">
        <f>+S286-AS286</f>
        <v>0</v>
      </c>
      <c r="AU286" s="127">
        <f>+P286-'[6]Приложение №1'!$P553</f>
        <v>-4956350.3780000005</v>
      </c>
      <c r="AV286" s="127">
        <f>+Q286-'[6]Приложение №1'!$Q553</f>
        <v>0</v>
      </c>
      <c r="AW286" s="88">
        <f>SUBTOTAL(9,AX286:BL286)</f>
        <v>48200635.318056263</v>
      </c>
      <c r="AX286" s="64">
        <v>12121082.414478905</v>
      </c>
      <c r="AY286" s="64">
        <v>4380765.675573769</v>
      </c>
      <c r="AZ286" s="64">
        <v>4601142.9003424933</v>
      </c>
      <c r="BA286" s="64">
        <v>2961095.0258614775</v>
      </c>
      <c r="BB286" s="64">
        <v>0</v>
      </c>
      <c r="BC286" s="64"/>
      <c r="BD286" s="64">
        <v>424957.37324978667</v>
      </c>
      <c r="BE286" s="64"/>
      <c r="BF286" s="64">
        <v>22433958.735577341</v>
      </c>
      <c r="BG286" s="64">
        <v>0</v>
      </c>
      <c r="BH286" s="64">
        <v>0</v>
      </c>
      <c r="BI286" s="64">
        <v>0</v>
      </c>
      <c r="BJ286" s="64">
        <v>223091.04581957759</v>
      </c>
      <c r="BK286" s="65">
        <v>28431.125819577603</v>
      </c>
      <c r="BL286" s="66">
        <v>1026111.021333326</v>
      </c>
    </row>
    <row r="287" spans="1:64" s="74" customFormat="1" x14ac:dyDescent="0.25">
      <c r="A287" s="141">
        <f t="shared" si="129"/>
        <v>269</v>
      </c>
      <c r="B287" s="142">
        <f t="shared" si="130"/>
        <v>81</v>
      </c>
      <c r="C287" s="62" t="s">
        <v>52</v>
      </c>
      <c r="D287" s="62" t="s">
        <v>748</v>
      </c>
      <c r="E287" s="123" t="s">
        <v>124</v>
      </c>
      <c r="F287" s="123"/>
      <c r="G287" s="123" t="s">
        <v>43</v>
      </c>
      <c r="H287" s="123" t="s">
        <v>108</v>
      </c>
      <c r="I287" s="123" t="s">
        <v>105</v>
      </c>
      <c r="J287" s="64">
        <v>4021.68</v>
      </c>
      <c r="K287" s="64">
        <v>3212.2</v>
      </c>
      <c r="L287" s="64">
        <v>201.5</v>
      </c>
      <c r="M287" s="124">
        <v>152</v>
      </c>
      <c r="N287" s="63">
        <f t="shared" ref="N287" si="141">SUM(O287:T287)</f>
        <v>33486355.040817708</v>
      </c>
      <c r="O287" s="64">
        <v>0</v>
      </c>
      <c r="P287" s="65">
        <v>1800934.12</v>
      </c>
      <c r="Q287" s="65">
        <v>0</v>
      </c>
      <c r="R287" s="65">
        <f t="shared" ref="R287" si="142">+AQ287+AR287</f>
        <v>2452252.58</v>
      </c>
      <c r="S287" s="65">
        <f>+AS287</f>
        <v>13665455.999999998</v>
      </c>
      <c r="T287" s="65">
        <f>+'Приложение №2'!E296-'Приложение №1'!P287-'Приложение №1'!R287-'Приложение №1'!S287</f>
        <v>15567712.340817707</v>
      </c>
      <c r="U287" s="65">
        <f t="shared" ref="U287" si="143">N287/K287</f>
        <v>10424.741622818539</v>
      </c>
      <c r="V287" s="65">
        <v>1274.2830200640001</v>
      </c>
      <c r="W287" s="126">
        <v>2023</v>
      </c>
      <c r="X287" s="74">
        <v>1358102.97</v>
      </c>
      <c r="Y287" s="74">
        <f>+(K287*9.1+L287*18.19)*12</f>
        <v>394755.66000000003</v>
      </c>
      <c r="AA287" s="129">
        <f>+N287-'[5]Приложение № 2'!E244</f>
        <v>33486355.040817708</v>
      </c>
      <c r="AD287" s="129">
        <f>+N287-'[5]Приложение № 2'!E244</f>
        <v>33486355.040817708</v>
      </c>
      <c r="AP287" s="128">
        <f>+N287-'Приложение №2'!E296</f>
        <v>0</v>
      </c>
      <c r="AQ287" s="38">
        <v>2065064.66</v>
      </c>
      <c r="AR287" s="25">
        <f t="shared" ref="AR287" si="144">+(K287*10.5+L287*21)*12*0.85</f>
        <v>387187.91999999993</v>
      </c>
      <c r="AS287" s="25">
        <f>+(K287*10.5+L287*21)*12*30</f>
        <v>13665455.999999998</v>
      </c>
      <c r="AT287" s="127">
        <f t="shared" ref="AT287" si="145">+S287-AS287</f>
        <v>0</v>
      </c>
      <c r="AU287" s="127">
        <f>+P287-'[6]Приложение №1'!$P279</f>
        <v>-3924536.4133099997</v>
      </c>
      <c r="AV287" s="127">
        <f>+Q287-'[6]Приложение №1'!$Q279</f>
        <v>0</v>
      </c>
      <c r="AW287" s="88">
        <f t="shared" ref="AW287" si="146">SUBTOTAL(9,AX287:BL287)</f>
        <v>33486355.040817708</v>
      </c>
      <c r="AX287" s="64">
        <v>8643306.5260717943</v>
      </c>
      <c r="AY287" s="64">
        <v>3051788.9179595588</v>
      </c>
      <c r="AZ287" s="64">
        <v>3312688.9008027716</v>
      </c>
      <c r="BA287" s="64"/>
      <c r="BB287" s="64"/>
      <c r="BC287" s="64"/>
      <c r="BD287" s="64">
        <v>312733.52125871408</v>
      </c>
      <c r="BE287" s="64">
        <v>0</v>
      </c>
      <c r="BF287" s="64">
        <v>16148584.35262032</v>
      </c>
      <c r="BG287" s="64">
        <v>0</v>
      </c>
      <c r="BH287" s="64">
        <v>0</v>
      </c>
      <c r="BI287" s="64">
        <v>0</v>
      </c>
      <c r="BJ287" s="64">
        <v>1231638.8674678032</v>
      </c>
      <c r="BK287" s="65">
        <v>24000</v>
      </c>
      <c r="BL287" s="66">
        <v>761613.95463674469</v>
      </c>
    </row>
    <row r="288" spans="1:64" x14ac:dyDescent="0.25">
      <c r="A288" s="141">
        <f t="shared" si="129"/>
        <v>270</v>
      </c>
      <c r="B288" s="142">
        <f t="shared" si="130"/>
        <v>82</v>
      </c>
      <c r="C288" s="62" t="s">
        <v>52</v>
      </c>
      <c r="D288" s="62" t="s">
        <v>1078</v>
      </c>
      <c r="E288" s="123">
        <v>1974</v>
      </c>
      <c r="F288" s="123">
        <v>2012</v>
      </c>
      <c r="G288" s="123" t="s">
        <v>43</v>
      </c>
      <c r="H288" s="123">
        <v>4</v>
      </c>
      <c r="I288" s="123">
        <v>4</v>
      </c>
      <c r="J288" s="64">
        <v>3917</v>
      </c>
      <c r="K288" s="64">
        <v>3431.9</v>
      </c>
      <c r="L288" s="64">
        <v>0</v>
      </c>
      <c r="M288" s="124">
        <v>163</v>
      </c>
      <c r="N288" s="95">
        <f t="shared" si="126"/>
        <v>27926494.238498837</v>
      </c>
      <c r="O288" s="64"/>
      <c r="P288" s="65">
        <v>1477447.78</v>
      </c>
      <c r="Q288" s="65"/>
      <c r="R288" s="65">
        <v>2089089.69</v>
      </c>
      <c r="S288" s="65">
        <v>6565720.8200000003</v>
      </c>
      <c r="T288" s="65">
        <f>+'Приложение №2'!E297-'Приложение №1'!P288-'Приложение №1'!R288-'Приложение №1'!S288</f>
        <v>17794235.948498838</v>
      </c>
      <c r="U288" s="64">
        <f t="shared" si="128"/>
        <v>8137.3274974500528</v>
      </c>
      <c r="V288" s="64">
        <f t="shared" si="128"/>
        <v>8137.3274974500528</v>
      </c>
      <c r="W288" s="126">
        <v>2023</v>
      </c>
      <c r="X288" s="127" t="e">
        <f>+#REF!-'[1]Приложение №1'!$P397</f>
        <v>#REF!</v>
      </c>
      <c r="Z288" s="63">
        <f t="shared" si="140"/>
        <v>9641868.1699999999</v>
      </c>
      <c r="AA288" s="64">
        <v>0</v>
      </c>
      <c r="AB288" s="64">
        <v>0</v>
      </c>
      <c r="AC288" s="64">
        <v>0</v>
      </c>
      <c r="AD288" s="64">
        <v>0</v>
      </c>
      <c r="AE288" s="64">
        <v>0</v>
      </c>
      <c r="AF288" s="64"/>
      <c r="AG288" s="64">
        <v>0</v>
      </c>
      <c r="AH288" s="64">
        <v>0</v>
      </c>
      <c r="AI288" s="64">
        <v>0</v>
      </c>
      <c r="AJ288" s="64">
        <v>0</v>
      </c>
      <c r="AK288" s="64">
        <v>0</v>
      </c>
      <c r="AL288" s="64">
        <v>8397623.6501341797</v>
      </c>
      <c r="AM288" s="64">
        <v>964186.81700000004</v>
      </c>
      <c r="AN288" s="65">
        <v>96418.681700000001</v>
      </c>
      <c r="AO288" s="66">
        <v>183639.02116581998</v>
      </c>
      <c r="AP288" s="128">
        <f>+N288-'Приложение №2'!E297</f>
        <v>0</v>
      </c>
      <c r="AQ288" s="74">
        <v>1639882.92</v>
      </c>
      <c r="AR288" s="25">
        <f t="shared" si="135"/>
        <v>350053.8</v>
      </c>
      <c r="AS288" s="25">
        <f>+(K288*10+L288*20)*12*30</f>
        <v>12354840</v>
      </c>
      <c r="AT288" s="127">
        <f t="shared" si="131"/>
        <v>-5789119.1799999997</v>
      </c>
      <c r="AU288" s="127">
        <f>+P288-'[6]Приложение №1'!$P276</f>
        <v>-34254.271452488145</v>
      </c>
      <c r="AV288" s="127">
        <f>+Q288-'[6]Приложение №1'!$Q276</f>
        <v>0</v>
      </c>
      <c r="AW288" s="63">
        <f t="shared" si="132"/>
        <v>27926494.23849884</v>
      </c>
      <c r="AX288" s="64">
        <v>8202360.1409184821</v>
      </c>
      <c r="AY288" s="64">
        <v>3191095.72</v>
      </c>
      <c r="AZ288" s="64">
        <v>3053714.1501469188</v>
      </c>
      <c r="BA288" s="64">
        <v>2949494.6598</v>
      </c>
      <c r="BB288" s="64"/>
      <c r="BC288" s="64"/>
      <c r="BD288" s="64">
        <v>314730.64776761638</v>
      </c>
      <c r="BE288" s="64">
        <v>0</v>
      </c>
      <c r="BF288" s="64">
        <v>0</v>
      </c>
      <c r="BG288" s="64">
        <v>0</v>
      </c>
      <c r="BH288" s="64">
        <v>0</v>
      </c>
      <c r="BI288" s="64">
        <v>8970854.4000000004</v>
      </c>
      <c r="BJ288" s="64">
        <v>964186.81700000004</v>
      </c>
      <c r="BK288" s="65">
        <v>96418.681700000001</v>
      </c>
      <c r="BL288" s="66">
        <v>183639.02116581998</v>
      </c>
    </row>
    <row r="289" spans="1:64" x14ac:dyDescent="0.25">
      <c r="A289" s="141">
        <f t="shared" si="129"/>
        <v>271</v>
      </c>
      <c r="B289" s="142">
        <f t="shared" si="130"/>
        <v>83</v>
      </c>
      <c r="C289" s="62" t="s">
        <v>52</v>
      </c>
      <c r="D289" s="62" t="s">
        <v>1018</v>
      </c>
      <c r="E289" s="123">
        <v>1977</v>
      </c>
      <c r="F289" s="123">
        <v>1977</v>
      </c>
      <c r="G289" s="123" t="s">
        <v>43</v>
      </c>
      <c r="H289" s="123">
        <v>4</v>
      </c>
      <c r="I289" s="123">
        <v>6</v>
      </c>
      <c r="J289" s="64">
        <v>5672.9</v>
      </c>
      <c r="K289" s="64">
        <v>4964.7</v>
      </c>
      <c r="L289" s="64">
        <v>0</v>
      </c>
      <c r="M289" s="124">
        <v>207</v>
      </c>
      <c r="N289" s="63">
        <f t="shared" si="126"/>
        <v>12147412.900428798</v>
      </c>
      <c r="O289" s="64"/>
      <c r="P289" s="65">
        <v>3338318.21</v>
      </c>
      <c r="Q289" s="65"/>
      <c r="R289" s="65">
        <v>637442.04</v>
      </c>
      <c r="S289" s="65">
        <v>3556745.98</v>
      </c>
      <c r="T289" s="65">
        <f>+'Приложение №2'!E298-'Приложение №1'!P289-'Приложение №1'!R289-'Приложение №1'!S289</f>
        <v>4614906.6704287976</v>
      </c>
      <c r="U289" s="65">
        <f t="shared" si="128"/>
        <v>2446.7566822625331</v>
      </c>
      <c r="V289" s="65">
        <f t="shared" si="128"/>
        <v>2446.7566822625331</v>
      </c>
      <c r="W289" s="126">
        <v>2023</v>
      </c>
      <c r="X289" s="127" t="e">
        <f>+#REF!-'[1]Приложение №1'!$P1232</f>
        <v>#REF!</v>
      </c>
      <c r="Z289" s="63">
        <f t="shared" si="140"/>
        <v>40803772.100000001</v>
      </c>
      <c r="AA289" s="64">
        <v>8274934.6457723388</v>
      </c>
      <c r="AB289" s="64">
        <v>4785620.9278290002</v>
      </c>
      <c r="AC289" s="64">
        <v>5058755.6557213198</v>
      </c>
      <c r="AD289" s="64">
        <v>3857344.1921599195</v>
      </c>
      <c r="AE289" s="64">
        <v>1540930.0457111399</v>
      </c>
      <c r="AF289" s="64"/>
      <c r="AG289" s="64">
        <v>411179.32298520009</v>
      </c>
      <c r="AH289" s="64">
        <v>0</v>
      </c>
      <c r="AI289" s="64">
        <v>0</v>
      </c>
      <c r="AJ289" s="64">
        <v>0</v>
      </c>
      <c r="AK289" s="64">
        <v>0</v>
      </c>
      <c r="AL289" s="64">
        <v>11247866.888920201</v>
      </c>
      <c r="AM289" s="64">
        <v>4449861.0098000001</v>
      </c>
      <c r="AN289" s="65">
        <v>408037.72100000002</v>
      </c>
      <c r="AO289" s="66">
        <v>769241.69010087999</v>
      </c>
      <c r="AP289" s="144" t="s">
        <v>979</v>
      </c>
      <c r="AQ289" s="127">
        <f>2390424.58-114155.72-R78</f>
        <v>638041.85999999987</v>
      </c>
      <c r="AR289" s="25">
        <f t="shared" si="135"/>
        <v>506399.39999999997</v>
      </c>
      <c r="AS289" s="25">
        <f>+(K289*10+L289*20)*12*30-S78</f>
        <v>6254675.2815711945</v>
      </c>
      <c r="AT289" s="127">
        <f t="shared" si="131"/>
        <v>-2697929.3015711945</v>
      </c>
      <c r="AW289" s="63">
        <f t="shared" si="132"/>
        <v>12147412.900428798</v>
      </c>
      <c r="AX289" s="64"/>
      <c r="AY289" s="64">
        <v>5603246.21</v>
      </c>
      <c r="AZ289" s="64">
        <v>2551720.8199999998</v>
      </c>
      <c r="BA289" s="64">
        <v>3180773.21</v>
      </c>
      <c r="BB289" s="64"/>
      <c r="BC289" s="64"/>
      <c r="BD289" s="64"/>
      <c r="BE289" s="64">
        <v>0</v>
      </c>
      <c r="BF289" s="64">
        <v>0</v>
      </c>
      <c r="BG289" s="64">
        <v>0</v>
      </c>
      <c r="BH289" s="64">
        <v>0</v>
      </c>
      <c r="BI289" s="64"/>
      <c r="BJ289" s="64"/>
      <c r="BK289" s="65"/>
      <c r="BL289" s="66">
        <v>811672.66042880015</v>
      </c>
    </row>
    <row r="290" spans="1:64" x14ac:dyDescent="0.25">
      <c r="A290" s="141">
        <f t="shared" si="129"/>
        <v>272</v>
      </c>
      <c r="B290" s="142">
        <f t="shared" si="130"/>
        <v>84</v>
      </c>
      <c r="C290" s="62" t="s">
        <v>52</v>
      </c>
      <c r="D290" s="62" t="s">
        <v>1079</v>
      </c>
      <c r="E290" s="123">
        <v>1977</v>
      </c>
      <c r="F290" s="123">
        <v>2013</v>
      </c>
      <c r="G290" s="123" t="s">
        <v>43</v>
      </c>
      <c r="H290" s="123">
        <v>4</v>
      </c>
      <c r="I290" s="123">
        <v>6</v>
      </c>
      <c r="J290" s="64">
        <v>5713.5</v>
      </c>
      <c r="K290" s="64">
        <v>5033.6000000000004</v>
      </c>
      <c r="L290" s="64">
        <v>0</v>
      </c>
      <c r="M290" s="124">
        <v>226</v>
      </c>
      <c r="N290" s="95">
        <f t="shared" si="126"/>
        <v>2005001.28</v>
      </c>
      <c r="O290" s="64"/>
      <c r="P290" s="65"/>
      <c r="Q290" s="65"/>
      <c r="R290" s="65">
        <f>+'Приложение №2'!E299</f>
        <v>2005001.28</v>
      </c>
      <c r="S290" s="65">
        <f>+'Приложение №2'!E299-'Приложение №1'!R290</f>
        <v>0</v>
      </c>
      <c r="T290" s="65">
        <v>0</v>
      </c>
      <c r="U290" s="64">
        <f t="shared" si="128"/>
        <v>398.32352193261283</v>
      </c>
      <c r="V290" s="64">
        <f t="shared" si="128"/>
        <v>398.32352193261283</v>
      </c>
      <c r="W290" s="126">
        <v>2023</v>
      </c>
      <c r="X290" s="127" t="e">
        <f>+#REF!-'[1]Приложение №1'!$P658</f>
        <v>#REF!</v>
      </c>
      <c r="Z290" s="63">
        <f t="shared" si="140"/>
        <v>2266972.17</v>
      </c>
      <c r="AA290" s="64">
        <v>0</v>
      </c>
      <c r="AB290" s="64">
        <v>0</v>
      </c>
      <c r="AC290" s="64">
        <v>0</v>
      </c>
      <c r="AD290" s="64">
        <v>0</v>
      </c>
      <c r="AE290" s="64">
        <v>1990601.96</v>
      </c>
      <c r="AF290" s="64"/>
      <c r="AG290" s="64">
        <v>0</v>
      </c>
      <c r="AH290" s="64">
        <v>0</v>
      </c>
      <c r="AI290" s="64">
        <v>0</v>
      </c>
      <c r="AJ290" s="64">
        <v>0</v>
      </c>
      <c r="AK290" s="64">
        <v>0</v>
      </c>
      <c r="AL290" s="64">
        <v>0</v>
      </c>
      <c r="AM290" s="64">
        <v>251970.89</v>
      </c>
      <c r="AN290" s="65">
        <v>10000</v>
      </c>
      <c r="AO290" s="66">
        <v>14399.32</v>
      </c>
      <c r="AP290" s="128">
        <f>+N290-'Приложение №2'!E299</f>
        <v>0</v>
      </c>
      <c r="AQ290" s="23">
        <v>2355088.06</v>
      </c>
      <c r="AR290" s="25">
        <f t="shared" si="135"/>
        <v>513427.20000000001</v>
      </c>
      <c r="AS290" s="25">
        <f>+(K290*10+L290*20)*12*30</f>
        <v>18120960</v>
      </c>
      <c r="AT290" s="127">
        <f t="shared" si="131"/>
        <v>-18120960</v>
      </c>
      <c r="AU290" s="127">
        <f>+P290-'[6]Приложение №1'!$P277</f>
        <v>-1020018.4912000014</v>
      </c>
      <c r="AV290" s="127">
        <f>+Q290-'[6]Приложение №1'!$Q277</f>
        <v>0</v>
      </c>
      <c r="AW290" s="63">
        <f t="shared" si="132"/>
        <v>2005001.28</v>
      </c>
      <c r="AX290" s="64">
        <v>0</v>
      </c>
      <c r="AY290" s="64">
        <v>0</v>
      </c>
      <c r="AZ290" s="64">
        <v>0</v>
      </c>
      <c r="BA290" s="64">
        <v>0</v>
      </c>
      <c r="BB290" s="64">
        <v>1990601.96</v>
      </c>
      <c r="BC290" s="64"/>
      <c r="BD290" s="64"/>
      <c r="BE290" s="64">
        <v>0</v>
      </c>
      <c r="BF290" s="64">
        <v>0</v>
      </c>
      <c r="BG290" s="64">
        <v>0</v>
      </c>
      <c r="BH290" s="64">
        <v>0</v>
      </c>
      <c r="BI290" s="64">
        <v>0</v>
      </c>
      <c r="BJ290" s="64"/>
      <c r="BK290" s="65"/>
      <c r="BL290" s="66">
        <v>14399.32</v>
      </c>
    </row>
    <row r="291" spans="1:64" x14ac:dyDescent="0.25">
      <c r="A291" s="141">
        <f t="shared" si="129"/>
        <v>273</v>
      </c>
      <c r="B291" s="142">
        <f t="shared" si="130"/>
        <v>85</v>
      </c>
      <c r="C291" s="62" t="s">
        <v>52</v>
      </c>
      <c r="D291" s="62" t="s">
        <v>1019</v>
      </c>
      <c r="E291" s="123">
        <v>1974</v>
      </c>
      <c r="F291" s="123">
        <v>2013</v>
      </c>
      <c r="G291" s="123" t="s">
        <v>43</v>
      </c>
      <c r="H291" s="123">
        <v>4</v>
      </c>
      <c r="I291" s="123">
        <v>4</v>
      </c>
      <c r="J291" s="64">
        <v>3890.5</v>
      </c>
      <c r="K291" s="64">
        <v>3406.6</v>
      </c>
      <c r="L291" s="64">
        <v>0</v>
      </c>
      <c r="M291" s="124">
        <v>175</v>
      </c>
      <c r="N291" s="95">
        <f t="shared" si="126"/>
        <v>1363080.4118900001</v>
      </c>
      <c r="O291" s="64"/>
      <c r="P291" s="65">
        <f>+'Приложение №2'!E300-'Приложение №1'!R291-'Приложение №1'!S291</f>
        <v>989123.26378000085</v>
      </c>
      <c r="Q291" s="65"/>
      <c r="R291" s="65">
        <f>+AR291</f>
        <v>347473.2</v>
      </c>
      <c r="S291" s="65">
        <f>+AS291</f>
        <v>26483.948109999299</v>
      </c>
      <c r="T291" s="65">
        <v>0</v>
      </c>
      <c r="U291" s="64">
        <f t="shared" si="128"/>
        <v>400.12928194974467</v>
      </c>
      <c r="V291" s="64">
        <f t="shared" si="128"/>
        <v>400.12928194974467</v>
      </c>
      <c r="W291" s="126">
        <v>2023</v>
      </c>
      <c r="X291" s="127" t="e">
        <f>+#REF!-'[1]Приложение №1'!$P987</f>
        <v>#REF!</v>
      </c>
      <c r="Z291" s="63">
        <f t="shared" si="140"/>
        <v>24100395.781889997</v>
      </c>
      <c r="AA291" s="64">
        <v>0</v>
      </c>
      <c r="AB291" s="64">
        <v>0</v>
      </c>
      <c r="AC291" s="64">
        <v>0</v>
      </c>
      <c r="AD291" s="64">
        <v>0</v>
      </c>
      <c r="AE291" s="64">
        <v>1356671.24</v>
      </c>
      <c r="AF291" s="64"/>
      <c r="AG291" s="64">
        <v>0</v>
      </c>
      <c r="AH291" s="64">
        <v>0</v>
      </c>
      <c r="AI291" s="64">
        <v>0</v>
      </c>
      <c r="AJ291" s="64">
        <v>0</v>
      </c>
      <c r="AK291" s="64">
        <v>19641111.600080881</v>
      </c>
      <c r="AL291" s="64">
        <v>0</v>
      </c>
      <c r="AM291" s="64">
        <v>2439179.8219999997</v>
      </c>
      <c r="AN291" s="65">
        <v>227512.61719999998</v>
      </c>
      <c r="AO291" s="66">
        <v>435920.50260911998</v>
      </c>
      <c r="AP291" s="128">
        <f>+N291-'Приложение №2'!E300</f>
        <v>0</v>
      </c>
      <c r="AQ291" s="127">
        <f>1535272.52-R79</f>
        <v>348389.10000000009</v>
      </c>
      <c r="AR291" s="25">
        <f t="shared" si="135"/>
        <v>347473.2</v>
      </c>
      <c r="AS291" s="25">
        <f>+(K291*10+L291*20)*12*30-S79</f>
        <v>26483.948109999299</v>
      </c>
      <c r="AT291" s="127">
        <f t="shared" si="131"/>
        <v>0</v>
      </c>
      <c r="AU291" s="127">
        <f>+P291-'[6]Приложение №1'!$P278</f>
        <v>0</v>
      </c>
      <c r="AV291" s="127">
        <f>+Q291-'[6]Приложение №1'!$Q278</f>
        <v>0</v>
      </c>
      <c r="AW291" s="63">
        <f t="shared" si="132"/>
        <v>1363080.4118900001</v>
      </c>
      <c r="AX291" s="64">
        <v>0</v>
      </c>
      <c r="AY291" s="64">
        <v>0</v>
      </c>
      <c r="AZ291" s="64">
        <v>0</v>
      </c>
      <c r="BA291" s="64">
        <v>0</v>
      </c>
      <c r="BB291" s="64">
        <v>1356671.24</v>
      </c>
      <c r="BC291" s="64"/>
      <c r="BD291" s="64"/>
      <c r="BE291" s="64">
        <v>0</v>
      </c>
      <c r="BF291" s="64">
        <v>0</v>
      </c>
      <c r="BG291" s="64">
        <v>0</v>
      </c>
      <c r="BH291" s="64"/>
      <c r="BI291" s="64">
        <v>0</v>
      </c>
      <c r="BJ291" s="64"/>
      <c r="BK291" s="65"/>
      <c r="BL291" s="66">
        <v>6409.1718899999996</v>
      </c>
    </row>
    <row r="292" spans="1:64" x14ac:dyDescent="0.25">
      <c r="A292" s="141">
        <f t="shared" si="129"/>
        <v>274</v>
      </c>
      <c r="B292" s="142">
        <f t="shared" si="130"/>
        <v>86</v>
      </c>
      <c r="C292" s="62" t="s">
        <v>52</v>
      </c>
      <c r="D292" s="62" t="s">
        <v>1080</v>
      </c>
      <c r="E292" s="123">
        <v>1979</v>
      </c>
      <c r="F292" s="123">
        <v>2013</v>
      </c>
      <c r="G292" s="123" t="s">
        <v>43</v>
      </c>
      <c r="H292" s="123">
        <v>5</v>
      </c>
      <c r="I292" s="123">
        <v>4</v>
      </c>
      <c r="J292" s="64">
        <v>3602.3</v>
      </c>
      <c r="K292" s="64">
        <v>3466.4</v>
      </c>
      <c r="L292" s="64">
        <v>0</v>
      </c>
      <c r="M292" s="124">
        <v>87</v>
      </c>
      <c r="N292" s="63">
        <f>SUM(O292:T292)</f>
        <v>18654436.314541005</v>
      </c>
      <c r="O292" s="64"/>
      <c r="P292" s="65"/>
      <c r="Q292" s="65"/>
      <c r="R292" s="65">
        <f>+AQ292+AR292</f>
        <v>2490419.65</v>
      </c>
      <c r="S292" s="65">
        <f>+AS292</f>
        <v>13102992</v>
      </c>
      <c r="T292" s="65">
        <f>+'Приложение №2'!E301-'Приложение №1'!P292-'Приложение №1'!R292-'Приложение №1'!S292</f>
        <v>3061024.6645410042</v>
      </c>
      <c r="U292" s="65">
        <f>N292/K292</f>
        <v>5381.5013600683715</v>
      </c>
      <c r="V292" s="65">
        <v>1278.2830200640001</v>
      </c>
      <c r="W292" s="126">
        <v>2023</v>
      </c>
      <c r="X292" s="127" t="e">
        <f>+#REF!-'[1]Приложение №1'!$P1021</f>
        <v>#REF!</v>
      </c>
      <c r="Z292" s="63">
        <f>SUM(AA292:AO292)</f>
        <v>20589034.119999997</v>
      </c>
      <c r="AA292" s="64">
        <v>9020010.4696379993</v>
      </c>
      <c r="AB292" s="64">
        <v>3231794.773788</v>
      </c>
      <c r="AC292" s="64">
        <v>3412556.6672820002</v>
      </c>
      <c r="AD292" s="64">
        <v>2178146.6737379995</v>
      </c>
      <c r="AE292" s="64">
        <v>1610487.0989339999</v>
      </c>
      <c r="AF292" s="64"/>
      <c r="AG292" s="64">
        <v>324068.03834999999</v>
      </c>
      <c r="AH292" s="64">
        <v>0</v>
      </c>
      <c r="AI292" s="64">
        <v>0</v>
      </c>
      <c r="AJ292" s="64">
        <v>0</v>
      </c>
      <c r="AK292" s="64">
        <v>0</v>
      </c>
      <c r="AL292" s="64">
        <v>0</v>
      </c>
      <c r="AM292" s="64">
        <v>334025.17</v>
      </c>
      <c r="AN292" s="64">
        <v>45460.9</v>
      </c>
      <c r="AO292" s="66">
        <v>432484.32827000006</v>
      </c>
      <c r="AP292" s="128">
        <f>+N292-'Приложение №2'!E301</f>
        <v>0</v>
      </c>
      <c r="AQ292" s="38">
        <v>2119168.21</v>
      </c>
      <c r="AR292" s="25">
        <f>+(K292*10.5+L292*21)*12*0.85</f>
        <v>371251.44</v>
      </c>
      <c r="AS292" s="25">
        <f>+(K292*10.5+L292*21)*12*30</f>
        <v>13102992</v>
      </c>
      <c r="AT292" s="127">
        <f>+S292-AS292</f>
        <v>0</v>
      </c>
      <c r="AU292" s="127">
        <f>+P292-'[6]Приложение №1'!$P561</f>
        <v>-1067670.11489175</v>
      </c>
      <c r="AV292" s="127">
        <f>+Q292-'[6]Приложение №1'!$Q561</f>
        <v>0</v>
      </c>
      <c r="AW292" s="88">
        <f>SUBTOTAL(9,AX292:BL292)</f>
        <v>18654436.314541005</v>
      </c>
      <c r="AX292" s="64">
        <v>9020010.4696379993</v>
      </c>
      <c r="AY292" s="64">
        <v>3057898.49</v>
      </c>
      <c r="AZ292" s="64">
        <v>3412556.6672820002</v>
      </c>
      <c r="BA292" s="64">
        <v>2178472.4900000002</v>
      </c>
      <c r="BB292" s="64"/>
      <c r="BC292" s="64"/>
      <c r="BD292" s="64">
        <v>324068.03834999999</v>
      </c>
      <c r="BE292" s="64">
        <v>0</v>
      </c>
      <c r="BF292" s="64">
        <v>0</v>
      </c>
      <c r="BG292" s="64">
        <v>0</v>
      </c>
      <c r="BH292" s="64">
        <v>0</v>
      </c>
      <c r="BI292" s="64">
        <v>0</v>
      </c>
      <c r="BJ292" s="64">
        <v>239862.84749999997</v>
      </c>
      <c r="BK292" s="64">
        <f>24000</f>
        <v>24000</v>
      </c>
      <c r="BL292" s="66">
        <v>397567.31177100004</v>
      </c>
    </row>
    <row r="293" spans="1:64" x14ac:dyDescent="0.25">
      <c r="A293" s="141">
        <f t="shared" si="129"/>
        <v>275</v>
      </c>
      <c r="B293" s="142">
        <f t="shared" si="130"/>
        <v>87</v>
      </c>
      <c r="C293" s="62" t="s">
        <v>52</v>
      </c>
      <c r="D293" s="62" t="s">
        <v>1022</v>
      </c>
      <c r="E293" s="123">
        <v>1977</v>
      </c>
      <c r="F293" s="123">
        <v>2013</v>
      </c>
      <c r="G293" s="123" t="s">
        <v>43</v>
      </c>
      <c r="H293" s="123">
        <v>5</v>
      </c>
      <c r="I293" s="123">
        <v>4</v>
      </c>
      <c r="J293" s="64">
        <v>3776.9</v>
      </c>
      <c r="K293" s="64">
        <v>3428.1</v>
      </c>
      <c r="L293" s="64">
        <v>0</v>
      </c>
      <c r="M293" s="124">
        <v>165</v>
      </c>
      <c r="N293" s="63">
        <f>SUM(O293:T293)</f>
        <v>20234536.945299998</v>
      </c>
      <c r="O293" s="64"/>
      <c r="P293" s="65"/>
      <c r="Q293" s="65"/>
      <c r="R293" s="65">
        <f>+AQ293+AR293</f>
        <v>2501614.3899999997</v>
      </c>
      <c r="S293" s="65">
        <f>+AS293</f>
        <v>12958218</v>
      </c>
      <c r="T293" s="65">
        <f>+'Приложение №2'!E302-'Приложение №1'!P293-'Приложение №1'!R293-'Приложение №1'!S293</f>
        <v>4774704.5552999973</v>
      </c>
      <c r="U293" s="65">
        <f>N293/K293</f>
        <v>5902.5515432163584</v>
      </c>
      <c r="V293" s="65">
        <v>1279.2830200640001</v>
      </c>
      <c r="W293" s="126">
        <v>2023</v>
      </c>
      <c r="X293" s="127" t="e">
        <f>+#REF!-'[1]Приложение №1'!$P455</f>
        <v>#REF!</v>
      </c>
      <c r="Z293" s="63">
        <f>SUM(AA293:AO293)</f>
        <v>11360184.469999999</v>
      </c>
      <c r="AA293" s="64">
        <v>3337702.3199999994</v>
      </c>
      <c r="AB293" s="64">
        <v>1996791.3600000003</v>
      </c>
      <c r="AC293" s="64">
        <v>1053038.83</v>
      </c>
      <c r="AD293" s="64">
        <v>1225903.6200000001</v>
      </c>
      <c r="AE293" s="64"/>
      <c r="AF293" s="64"/>
      <c r="AG293" s="64"/>
      <c r="AH293" s="64">
        <v>0</v>
      </c>
      <c r="AI293" s="64">
        <v>3746748.34</v>
      </c>
      <c r="AJ293" s="64">
        <v>0</v>
      </c>
      <c r="AK293" s="64"/>
      <c r="AL293" s="64"/>
      <c r="AM293" s="64"/>
      <c r="AN293" s="65"/>
      <c r="AO293" s="66"/>
      <c r="AP293" s="128">
        <f>+N293-'Приложение №2'!E302</f>
        <v>0</v>
      </c>
      <c r="AQ293" s="38">
        <v>2134464.88</v>
      </c>
      <c r="AR293" s="25">
        <f>+(K293*10.5+L293*21)*12*0.85</f>
        <v>367149.50999999995</v>
      </c>
      <c r="AS293" s="25">
        <f>+(K293*10.5+L293*21)*12*30</f>
        <v>12958218</v>
      </c>
      <c r="AT293" s="127">
        <f>+S293-AS293</f>
        <v>0</v>
      </c>
      <c r="AU293" s="127">
        <f>+P293-'[6]Приложение №1'!$P562</f>
        <v>-2077670.4749999989</v>
      </c>
      <c r="AV293" s="127">
        <f>+Q293-'[6]Приложение №1'!$Q562</f>
        <v>0</v>
      </c>
      <c r="AW293" s="88">
        <f>SUBTOTAL(9,AX293:BL293)</f>
        <v>20234536.945299998</v>
      </c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>
        <v>19801517.854670577</v>
      </c>
      <c r="BI293" s="64">
        <v>0</v>
      </c>
      <c r="BJ293" s="64"/>
      <c r="BK293" s="64"/>
      <c r="BL293" s="66">
        <v>433019.09062942001</v>
      </c>
    </row>
    <row r="294" spans="1:64" x14ac:dyDescent="0.25">
      <c r="A294" s="141">
        <f t="shared" si="129"/>
        <v>276</v>
      </c>
      <c r="B294" s="142">
        <f t="shared" si="130"/>
        <v>88</v>
      </c>
      <c r="C294" s="62" t="s">
        <v>52</v>
      </c>
      <c r="D294" s="62" t="s">
        <v>1081</v>
      </c>
      <c r="E294" s="123">
        <v>1978</v>
      </c>
      <c r="F294" s="123">
        <v>2013</v>
      </c>
      <c r="G294" s="123" t="s">
        <v>43</v>
      </c>
      <c r="H294" s="123">
        <v>5</v>
      </c>
      <c r="I294" s="123">
        <v>4</v>
      </c>
      <c r="J294" s="64">
        <v>4846.8</v>
      </c>
      <c r="K294" s="64">
        <v>4276.3999999999996</v>
      </c>
      <c r="L294" s="64">
        <v>0</v>
      </c>
      <c r="M294" s="124">
        <v>174</v>
      </c>
      <c r="N294" s="63">
        <f t="shared" si="126"/>
        <v>7294260.8670106996</v>
      </c>
      <c r="O294" s="64"/>
      <c r="P294" s="65">
        <v>1025756.5499999998</v>
      </c>
      <c r="Q294" s="65"/>
      <c r="R294" s="65">
        <f>+AQ294+AR294</f>
        <v>2316702.7399999998</v>
      </c>
      <c r="S294" s="65">
        <f>+'Приложение №2'!E303-'Приложение №1'!R294-P294</f>
        <v>3951801.5770106995</v>
      </c>
      <c r="T294" s="64">
        <f>+'Приложение №2'!E303-'Приложение №1'!P294-'Приложение №1'!Q294-'Приложение №1'!R294-'Приложение №1'!S294</f>
        <v>0</v>
      </c>
      <c r="U294" s="65">
        <f>$N294/($K294+$L294)</f>
        <v>1705.7012597069265</v>
      </c>
      <c r="V294" s="65">
        <f>$N294/($K294+$L294)</f>
        <v>1705.7012597069265</v>
      </c>
      <c r="W294" s="126">
        <v>2023</v>
      </c>
      <c r="X294" s="127" t="e">
        <f>+#REF!-'[1]Приложение №1'!$P1033</f>
        <v>#REF!</v>
      </c>
      <c r="Z294" s="63">
        <f>SUM(AA294:AO294)</f>
        <v>10000151.410000002</v>
      </c>
      <c r="AA294" s="64">
        <v>7149539.5285750804</v>
      </c>
      <c r="AB294" s="64">
        <v>0</v>
      </c>
      <c r="AC294" s="64">
        <v>0</v>
      </c>
      <c r="AD294" s="64">
        <v>0</v>
      </c>
      <c r="AE294" s="64">
        <v>1331362.8144142204</v>
      </c>
      <c r="AF294" s="64"/>
      <c r="AG294" s="64">
        <v>0</v>
      </c>
      <c r="AH294" s="64">
        <v>0</v>
      </c>
      <c r="AI294" s="64">
        <v>0</v>
      </c>
      <c r="AJ294" s="64">
        <v>0</v>
      </c>
      <c r="AK294" s="64">
        <v>0</v>
      </c>
      <c r="AL294" s="64">
        <v>0</v>
      </c>
      <c r="AM294" s="64">
        <v>1233787.3953999998</v>
      </c>
      <c r="AN294" s="65">
        <v>100001.5141</v>
      </c>
      <c r="AO294" s="66">
        <v>185460.15751070005</v>
      </c>
      <c r="AP294" s="128">
        <f>+N294-'Приложение №2'!E303</f>
        <v>0</v>
      </c>
      <c r="AQ294" s="23">
        <f>2003447.04-122937.1</f>
        <v>1880509.94</v>
      </c>
      <c r="AR294" s="25">
        <f>+(K294*10+L294*20)*12*0.85</f>
        <v>436192.8</v>
      </c>
      <c r="AS294" s="25">
        <f>+(K294*10+L294*20)*12*30</f>
        <v>15395040</v>
      </c>
      <c r="AT294" s="127">
        <f>+S294-AS294</f>
        <v>-11443238.422989301</v>
      </c>
      <c r="AW294" s="63">
        <f t="shared" si="132"/>
        <v>7294260.8670106996</v>
      </c>
      <c r="AX294" s="64">
        <v>5775011.7999999998</v>
      </c>
      <c r="AY294" s="64">
        <v>0</v>
      </c>
      <c r="AZ294" s="64">
        <v>0</v>
      </c>
      <c r="BA294" s="64">
        <v>0</v>
      </c>
      <c r="BB294" s="64"/>
      <c r="BC294" s="64"/>
      <c r="BD294" s="64"/>
      <c r="BE294" s="64">
        <v>0</v>
      </c>
      <c r="BF294" s="64">
        <v>0</v>
      </c>
      <c r="BG294" s="64">
        <v>0</v>
      </c>
      <c r="BH294" s="64">
        <v>0</v>
      </c>
      <c r="BI294" s="64">
        <v>0</v>
      </c>
      <c r="BJ294" s="64">
        <v>1233787.3953999998</v>
      </c>
      <c r="BK294" s="65">
        <v>100001.5141</v>
      </c>
      <c r="BL294" s="66">
        <v>185460.15751070005</v>
      </c>
    </row>
    <row r="295" spans="1:64" x14ac:dyDescent="0.25">
      <c r="A295" s="141">
        <f t="shared" si="129"/>
        <v>277</v>
      </c>
      <c r="B295" s="142">
        <f t="shared" si="130"/>
        <v>89</v>
      </c>
      <c r="C295" s="62" t="s">
        <v>52</v>
      </c>
      <c r="D295" s="62" t="s">
        <v>1082</v>
      </c>
      <c r="E295" s="123">
        <v>1978</v>
      </c>
      <c r="F295" s="123">
        <v>2008</v>
      </c>
      <c r="G295" s="123" t="s">
        <v>43</v>
      </c>
      <c r="H295" s="123">
        <v>5</v>
      </c>
      <c r="I295" s="123">
        <v>4</v>
      </c>
      <c r="J295" s="64">
        <v>4929.7</v>
      </c>
      <c r="K295" s="64">
        <v>4335.1000000000004</v>
      </c>
      <c r="L295" s="64">
        <v>0</v>
      </c>
      <c r="M295" s="124">
        <v>213</v>
      </c>
      <c r="N295" s="95">
        <f t="shared" si="126"/>
        <v>9382540.3126575127</v>
      </c>
      <c r="O295" s="64"/>
      <c r="P295" s="65">
        <v>5725470.5333099999</v>
      </c>
      <c r="Q295" s="65"/>
      <c r="R295" s="65">
        <f>+AQ295+AR295</f>
        <v>2519251.88</v>
      </c>
      <c r="S295" s="65">
        <f>+AS295-14468542.1</f>
        <v>1137817.9000000004</v>
      </c>
      <c r="T295" s="65">
        <f>+'Приложение №2'!E304-'Приложение №1'!P295-'Приложение №1'!R295-'Приложение №1'!S295</f>
        <v>-6.5248925238847733E-4</v>
      </c>
      <c r="U295" s="64">
        <f t="shared" si="128"/>
        <v>2164.3192343100532</v>
      </c>
      <c r="V295" s="64">
        <f t="shared" si="128"/>
        <v>2164.3192343100532</v>
      </c>
      <c r="W295" s="126">
        <v>2023</v>
      </c>
      <c r="X295" s="127" t="e">
        <f>+#REF!-'[1]Приложение №1'!$P988</f>
        <v>#REF!</v>
      </c>
      <c r="Z295" s="63">
        <f t="shared" si="140"/>
        <v>44837101.50993</v>
      </c>
      <c r="AA295" s="64">
        <v>0</v>
      </c>
      <c r="AB295" s="64">
        <v>4199173.3275891002</v>
      </c>
      <c r="AC295" s="64">
        <v>4438837.1277801599</v>
      </c>
      <c r="AD295" s="64">
        <v>3384651.0431630402</v>
      </c>
      <c r="AE295" s="64">
        <v>1471946.54</v>
      </c>
      <c r="AF295" s="64"/>
      <c r="AG295" s="64">
        <v>360791.89596239995</v>
      </c>
      <c r="AH295" s="64">
        <v>0</v>
      </c>
      <c r="AI295" s="64">
        <v>0</v>
      </c>
      <c r="AJ295" s="64">
        <v>0</v>
      </c>
      <c r="AK295" s="64">
        <v>25094924.378064241</v>
      </c>
      <c r="AL295" s="64">
        <v>0</v>
      </c>
      <c r="AM295" s="64">
        <v>4627048.3442000002</v>
      </c>
      <c r="AN295" s="65">
        <v>433511.50789999997</v>
      </c>
      <c r="AO295" s="66">
        <v>826217.34527106001</v>
      </c>
      <c r="AP295" s="128"/>
      <c r="AQ295" s="127">
        <f>2077071.68</f>
        <v>2077071.68</v>
      </c>
      <c r="AR295" s="25">
        <f t="shared" si="135"/>
        <v>442180.2</v>
      </c>
      <c r="AS295" s="25">
        <f>+(K295*10+L295*20)*12*30</f>
        <v>15606360</v>
      </c>
      <c r="AT295" s="127">
        <f t="shared" si="131"/>
        <v>-14468542.1</v>
      </c>
      <c r="AU295" s="127">
        <f>+P295-'[6]Приложение №1'!$P279</f>
        <v>0</v>
      </c>
      <c r="AV295" s="127">
        <f>+Q295-'[6]Приложение №1'!$Q279</f>
        <v>0</v>
      </c>
      <c r="AW295" s="63">
        <f t="shared" si="132"/>
        <v>9382540.3126575109</v>
      </c>
      <c r="AX295" s="64">
        <v>0</v>
      </c>
      <c r="AY295" s="64">
        <v>2812958.6787006906</v>
      </c>
      <c r="AZ295" s="64">
        <v>4438837.1277801599</v>
      </c>
      <c r="BA295" s="64"/>
      <c r="BB295" s="64">
        <v>1471946.54</v>
      </c>
      <c r="BC295" s="64"/>
      <c r="BD295" s="64"/>
      <c r="BE295" s="64">
        <v>0</v>
      </c>
      <c r="BF295" s="64">
        <v>0</v>
      </c>
      <c r="BG295" s="64">
        <v>0</v>
      </c>
      <c r="BH295" s="64"/>
      <c r="BI295" s="64">
        <v>0</v>
      </c>
      <c r="BJ295" s="64"/>
      <c r="BK295" s="65"/>
      <c r="BL295" s="66">
        <f>555416.30026576+103381.6659109</f>
        <v>658797.96617666003</v>
      </c>
    </row>
    <row r="296" spans="1:64" x14ac:dyDescent="0.25">
      <c r="A296" s="141">
        <f t="shared" si="129"/>
        <v>278</v>
      </c>
      <c r="B296" s="142">
        <f t="shared" si="130"/>
        <v>90</v>
      </c>
      <c r="C296" s="62" t="s">
        <v>52</v>
      </c>
      <c r="D296" s="62" t="s">
        <v>1024</v>
      </c>
      <c r="E296" s="123">
        <v>1978</v>
      </c>
      <c r="F296" s="123">
        <v>2013</v>
      </c>
      <c r="G296" s="123" t="s">
        <v>43</v>
      </c>
      <c r="H296" s="123">
        <v>5</v>
      </c>
      <c r="I296" s="123">
        <v>4</v>
      </c>
      <c r="J296" s="64">
        <v>4866.6000000000004</v>
      </c>
      <c r="K296" s="64">
        <v>4226.8</v>
      </c>
      <c r="L296" s="64">
        <v>67</v>
      </c>
      <c r="M296" s="124">
        <v>317</v>
      </c>
      <c r="N296" s="63">
        <f>SUM(O296:T296)</f>
        <v>25343583.591800004</v>
      </c>
      <c r="O296" s="64"/>
      <c r="P296" s="65">
        <v>4305404.6954799788</v>
      </c>
      <c r="Q296" s="65"/>
      <c r="R296" s="65">
        <f>+AQ296+AR296</f>
        <v>2041212.9535001004</v>
      </c>
      <c r="S296" s="65">
        <f>+AS296</f>
        <v>7730988.4906000094</v>
      </c>
      <c r="T296" s="65">
        <f>+'Приложение №2'!E305-'Приложение №1'!P296-'Приложение №1'!R296-'Приложение №1'!S296</f>
        <v>11265977.452219915</v>
      </c>
      <c r="U296" s="65">
        <f>N296/K296</f>
        <v>5995.9268457935086</v>
      </c>
      <c r="V296" s="65">
        <v>1281.2830200640001</v>
      </c>
      <c r="W296" s="126">
        <v>2023</v>
      </c>
      <c r="X296" s="127" t="e">
        <f>+#REF!-'[1]Приложение №1'!$P455</f>
        <v>#REF!</v>
      </c>
      <c r="Z296" s="63">
        <f>SUM(AA296:AO296)</f>
        <v>13545152.119999999</v>
      </c>
      <c r="AA296" s="64">
        <v>4053995.74</v>
      </c>
      <c r="AB296" s="64">
        <v>2307213.9</v>
      </c>
      <c r="AC296" s="64">
        <v>1224462.97</v>
      </c>
      <c r="AD296" s="64">
        <v>1111568.24</v>
      </c>
      <c r="AE296" s="64"/>
      <c r="AF296" s="64"/>
      <c r="AG296" s="64"/>
      <c r="AH296" s="64">
        <v>0</v>
      </c>
      <c r="AI296" s="64">
        <v>4847911.2699999996</v>
      </c>
      <c r="AJ296" s="64">
        <v>0</v>
      </c>
      <c r="AK296" s="64"/>
      <c r="AL296" s="64"/>
      <c r="AM296" s="64"/>
      <c r="AN296" s="65"/>
      <c r="AO296" s="66"/>
      <c r="AP296" s="128">
        <f>+N296-'Приложение №2'!E305</f>
        <v>0</v>
      </c>
      <c r="AQ296" s="127">
        <f>2617689.67-682951.44-R85</f>
        <v>1574171.2735001002</v>
      </c>
      <c r="AR296" s="25">
        <f>+(K296*10.5+L296*21)*12*0.85</f>
        <v>467041.68000000005</v>
      </c>
      <c r="AS296" s="25">
        <f>+(K296*10.5+L296*21)*12*30-4953727.17-S85</f>
        <v>7730988.4906000094</v>
      </c>
      <c r="AT296" s="127">
        <f>+S296-AS296</f>
        <v>0</v>
      </c>
      <c r="AU296" s="127">
        <f>+P296-'[6]Приложение №1'!$P564</f>
        <v>0</v>
      </c>
      <c r="AV296" s="127">
        <f>+Q296-'[6]Приложение №1'!$Q564</f>
        <v>0</v>
      </c>
      <c r="AW296" s="88">
        <f>SUBTOTAL(9,AX296:BL296)</f>
        <v>25343583.591800001</v>
      </c>
      <c r="AX296" s="64"/>
      <c r="AY296" s="64"/>
      <c r="AZ296" s="64"/>
      <c r="BA296" s="64"/>
      <c r="BB296" s="64"/>
      <c r="BC296" s="64"/>
      <c r="BD296" s="64"/>
      <c r="BE296" s="64">
        <v>0</v>
      </c>
      <c r="BF296" s="64"/>
      <c r="BG296" s="64">
        <v>0</v>
      </c>
      <c r="BH296" s="64">
        <v>24801230.902935479</v>
      </c>
      <c r="BI296" s="64"/>
      <c r="BJ296" s="64"/>
      <c r="BK296" s="65"/>
      <c r="BL296" s="66">
        <v>542352.68886452005</v>
      </c>
    </row>
    <row r="297" spans="1:64" x14ac:dyDescent="0.25">
      <c r="A297" s="141">
        <f t="shared" si="129"/>
        <v>279</v>
      </c>
      <c r="B297" s="142">
        <f t="shared" si="130"/>
        <v>91</v>
      </c>
      <c r="C297" s="62" t="s">
        <v>52</v>
      </c>
      <c r="D297" s="62" t="s">
        <v>1025</v>
      </c>
      <c r="E297" s="123">
        <v>1981</v>
      </c>
      <c r="F297" s="123">
        <v>2009</v>
      </c>
      <c r="G297" s="123" t="s">
        <v>43</v>
      </c>
      <c r="H297" s="123">
        <v>5</v>
      </c>
      <c r="I297" s="123">
        <v>4</v>
      </c>
      <c r="J297" s="64">
        <v>6938.7</v>
      </c>
      <c r="K297" s="64">
        <v>6182.6</v>
      </c>
      <c r="L297" s="64">
        <v>0</v>
      </c>
      <c r="M297" s="124">
        <v>194</v>
      </c>
      <c r="N297" s="95">
        <f t="shared" si="126"/>
        <v>53766872.192556664</v>
      </c>
      <c r="O297" s="64"/>
      <c r="P297" s="65">
        <f>2076617.87+8300255.7228212</f>
        <v>10376873.592821199</v>
      </c>
      <c r="Q297" s="65"/>
      <c r="R297" s="65">
        <v>3054172.49</v>
      </c>
      <c r="S297" s="65">
        <f>+AS297</f>
        <v>5807839.7832261994</v>
      </c>
      <c r="T297" s="65">
        <f>+'Приложение №2'!E306-'Приложение №1'!P297-'Приложение №1'!Q297-'Приложение №1'!R297-'Приложение №1'!S297</f>
        <v>34527986.326509267</v>
      </c>
      <c r="U297" s="64">
        <f t="shared" si="128"/>
        <v>8696.4824171961081</v>
      </c>
      <c r="V297" s="64">
        <f t="shared" si="128"/>
        <v>8696.4824171961081</v>
      </c>
      <c r="W297" s="126">
        <v>2023</v>
      </c>
      <c r="X297" s="127" t="e">
        <f>+#REF!-'[1]Приложение №1'!$P1213</f>
        <v>#REF!</v>
      </c>
      <c r="Z297" s="63">
        <f t="shared" si="140"/>
        <v>112490116.45000002</v>
      </c>
      <c r="AA297" s="64">
        <v>10300846.19123742</v>
      </c>
      <c r="AB297" s="64">
        <v>5957260.9616612401</v>
      </c>
      <c r="AC297" s="64">
        <v>6297265.9176991209</v>
      </c>
      <c r="AD297" s="64">
        <v>4801718.7991861207</v>
      </c>
      <c r="AE297" s="64">
        <v>1918188.3660231601</v>
      </c>
      <c r="AF297" s="64"/>
      <c r="AG297" s="64">
        <v>511846.3343322</v>
      </c>
      <c r="AH297" s="64">
        <v>0</v>
      </c>
      <c r="AI297" s="64">
        <v>18337074.5641356</v>
      </c>
      <c r="AJ297" s="64">
        <v>0</v>
      </c>
      <c r="AK297" s="64">
        <v>35601534.275782861</v>
      </c>
      <c r="AL297" s="64">
        <v>14001626.819054702</v>
      </c>
      <c r="AM297" s="64">
        <v>11500753.575800002</v>
      </c>
      <c r="AN297" s="65">
        <v>1124901.1645</v>
      </c>
      <c r="AO297" s="66">
        <v>2137099.4805875802</v>
      </c>
      <c r="AP297" s="128">
        <f>+N297-'Приложение №2'!E306</f>
        <v>0</v>
      </c>
      <c r="AQ297" s="127">
        <f>2933225.6-137130.98-R86</f>
        <v>616710.84000000032</v>
      </c>
      <c r="AR297" s="25">
        <f t="shared" si="135"/>
        <v>630625.19999999995</v>
      </c>
      <c r="AS297" s="25">
        <f>+(K297*10+L297*20)*12*30-S86</f>
        <v>5807839.7832261994</v>
      </c>
      <c r="AT297" s="127">
        <f t="shared" si="131"/>
        <v>0</v>
      </c>
      <c r="AU297" s="127">
        <f>+P297-'[6]Приложение №1'!$P280</f>
        <v>6152077.5402127998</v>
      </c>
      <c r="AV297" s="127">
        <f>+Q297-'[6]Приложение №1'!$Q280</f>
        <v>0</v>
      </c>
      <c r="AW297" s="63">
        <f t="shared" si="132"/>
        <v>53766872.192556664</v>
      </c>
      <c r="AX297" s="64"/>
      <c r="AY297" s="64"/>
      <c r="AZ297" s="71">
        <v>4113294.16</v>
      </c>
      <c r="BA297" s="64"/>
      <c r="BB297" s="64"/>
      <c r="BC297" s="64"/>
      <c r="BD297" s="64"/>
      <c r="BE297" s="64">
        <v>0</v>
      </c>
      <c r="BF297" s="64"/>
      <c r="BG297" s="64">
        <v>0</v>
      </c>
      <c r="BH297" s="64">
        <v>35601534.275782861</v>
      </c>
      <c r="BI297" s="64">
        <v>13661056.57</v>
      </c>
      <c r="BJ297" s="64"/>
      <c r="BK297" s="65"/>
      <c r="BL297" s="66">
        <v>390987.18677379994</v>
      </c>
    </row>
    <row r="298" spans="1:64" x14ac:dyDescent="0.25">
      <c r="A298" s="141">
        <f t="shared" si="129"/>
        <v>280</v>
      </c>
      <c r="B298" s="142">
        <f t="shared" si="130"/>
        <v>92</v>
      </c>
      <c r="C298" s="62" t="s">
        <v>52</v>
      </c>
      <c r="D298" s="62" t="s">
        <v>236</v>
      </c>
      <c r="E298" s="123">
        <v>1990</v>
      </c>
      <c r="F298" s="123">
        <v>2009</v>
      </c>
      <c r="G298" s="123" t="s">
        <v>43</v>
      </c>
      <c r="H298" s="123">
        <v>5</v>
      </c>
      <c r="I298" s="123">
        <v>6</v>
      </c>
      <c r="J298" s="64">
        <v>5593.2</v>
      </c>
      <c r="K298" s="64">
        <v>4942</v>
      </c>
      <c r="L298" s="64">
        <v>0</v>
      </c>
      <c r="M298" s="124">
        <v>206</v>
      </c>
      <c r="N298" s="95">
        <f t="shared" si="126"/>
        <v>5450997.3955120007</v>
      </c>
      <c r="O298" s="64"/>
      <c r="P298" s="65"/>
      <c r="Q298" s="65"/>
      <c r="R298" s="65">
        <v>2725708.02</v>
      </c>
      <c r="S298" s="65">
        <f>+'Приложение №2'!E307-'Приложение №1'!R298</f>
        <v>2725289.3755120006</v>
      </c>
      <c r="T298" s="65">
        <v>0</v>
      </c>
      <c r="U298" s="64">
        <f t="shared" si="128"/>
        <v>1102.9942119611494</v>
      </c>
      <c r="V298" s="64">
        <f t="shared" si="128"/>
        <v>1102.9942119611494</v>
      </c>
      <c r="W298" s="126">
        <v>2023</v>
      </c>
      <c r="X298" s="127" t="e">
        <f>+#REF!-'[1]Приложение №1'!$P1036</f>
        <v>#REF!</v>
      </c>
      <c r="Z298" s="63">
        <f t="shared" si="140"/>
        <v>12818538.9</v>
      </c>
      <c r="AA298" s="64">
        <v>0</v>
      </c>
      <c r="AB298" s="64">
        <v>0</v>
      </c>
      <c r="AC298" s="64">
        <v>0</v>
      </c>
      <c r="AD298" s="64">
        <v>0</v>
      </c>
      <c r="AE298" s="64">
        <v>0</v>
      </c>
      <c r="AF298" s="64"/>
      <c r="AG298" s="64">
        <v>0</v>
      </c>
      <c r="AH298" s="64">
        <v>0</v>
      </c>
      <c r="AI298" s="64">
        <v>0</v>
      </c>
      <c r="AJ298" s="64">
        <v>0</v>
      </c>
      <c r="AK298" s="64">
        <v>0</v>
      </c>
      <c r="AL298" s="64">
        <v>12317589.348944476</v>
      </c>
      <c r="AM298" s="64">
        <v>155875.03</v>
      </c>
      <c r="AN298" s="64">
        <v>75713.789329170002</v>
      </c>
      <c r="AO298" s="66">
        <v>269360.73172635579</v>
      </c>
      <c r="AP298" s="128">
        <f>+N298-'Приложение №2'!E307</f>
        <v>0</v>
      </c>
      <c r="AQ298" s="23">
        <v>2223888.42</v>
      </c>
      <c r="AR298" s="25">
        <f t="shared" si="135"/>
        <v>504084</v>
      </c>
      <c r="AS298" s="25">
        <f>+(K298*10+L298*20)*12*30</f>
        <v>17791200</v>
      </c>
      <c r="AT298" s="127">
        <f t="shared" si="131"/>
        <v>-15065910.624488</v>
      </c>
      <c r="AU298" s="127">
        <f>+P298-'[6]Приложение №1'!$P281</f>
        <v>0</v>
      </c>
      <c r="AV298" s="127">
        <f>+Q298-'[6]Приложение №1'!$Q281</f>
        <v>0</v>
      </c>
      <c r="AW298" s="63">
        <f t="shared" si="132"/>
        <v>5450997.3955120007</v>
      </c>
      <c r="AX298" s="64">
        <v>0</v>
      </c>
      <c r="AY298" s="64">
        <v>0</v>
      </c>
      <c r="AZ298" s="64">
        <v>0</v>
      </c>
      <c r="BA298" s="64">
        <v>0</v>
      </c>
      <c r="BB298" s="64">
        <v>0</v>
      </c>
      <c r="BC298" s="64"/>
      <c r="BD298" s="64"/>
      <c r="BE298" s="64">
        <v>0</v>
      </c>
      <c r="BF298" s="64">
        <v>0</v>
      </c>
      <c r="BG298" s="64">
        <v>0</v>
      </c>
      <c r="BH298" s="64">
        <v>0</v>
      </c>
      <c r="BI298" s="64">
        <v>4977661</v>
      </c>
      <c r="BJ298" s="64">
        <v>155875.03</v>
      </c>
      <c r="BK298" s="64">
        <f>47496.79</f>
        <v>47496.79</v>
      </c>
      <c r="BL298" s="66">
        <v>269964.57551200007</v>
      </c>
    </row>
    <row r="299" spans="1:64" x14ac:dyDescent="0.25">
      <c r="A299" s="141">
        <f t="shared" si="129"/>
        <v>281</v>
      </c>
      <c r="B299" s="142">
        <f t="shared" si="130"/>
        <v>93</v>
      </c>
      <c r="C299" s="62" t="s">
        <v>52</v>
      </c>
      <c r="D299" s="62" t="s">
        <v>750</v>
      </c>
      <c r="E299" s="123">
        <v>1969</v>
      </c>
      <c r="F299" s="123">
        <v>2013</v>
      </c>
      <c r="G299" s="123" t="s">
        <v>43</v>
      </c>
      <c r="H299" s="123">
        <v>5</v>
      </c>
      <c r="I299" s="123">
        <v>1</v>
      </c>
      <c r="J299" s="64">
        <v>4537.3</v>
      </c>
      <c r="K299" s="64">
        <v>1650.2</v>
      </c>
      <c r="L299" s="64">
        <v>2887.1</v>
      </c>
      <c r="M299" s="124">
        <v>209</v>
      </c>
      <c r="N299" s="63">
        <f>SUM(O299:T299)</f>
        <v>51520579.943774581</v>
      </c>
      <c r="O299" s="64"/>
      <c r="P299" s="65">
        <v>1952415.092709831</v>
      </c>
      <c r="Q299" s="65"/>
      <c r="R299" s="65">
        <f>+AQ299+AR299</f>
        <v>5538195.8399999999</v>
      </c>
      <c r="S299" s="65">
        <f>+AS299</f>
        <v>28064231.999999996</v>
      </c>
      <c r="T299" s="65">
        <f>+'Приложение №2'!E308-'Приложение №1'!P299-'Приложение №1'!R299-'Приложение №1'!S299</f>
        <v>15965737.011064757</v>
      </c>
      <c r="U299" s="65">
        <f>N299/K299</f>
        <v>31220.809564764622</v>
      </c>
      <c r="V299" s="65">
        <v>1283.2830200640001</v>
      </c>
      <c r="W299" s="126">
        <v>2023</v>
      </c>
      <c r="X299" s="127" t="e">
        <f>+#REF!-'[1]Приложение №1'!$P414</f>
        <v>#REF!</v>
      </c>
      <c r="Z299" s="63">
        <f>SUM(AA299:AO299)</f>
        <v>18609674.18474108</v>
      </c>
      <c r="AA299" s="64">
        <v>3688251.5852036397</v>
      </c>
      <c r="AB299" s="64"/>
      <c r="AC299" s="64">
        <v>1373125.6438191601</v>
      </c>
      <c r="AD299" s="64">
        <v>859663.46708760003</v>
      </c>
      <c r="AE299" s="64">
        <v>0</v>
      </c>
      <c r="AF299" s="64"/>
      <c r="AG299" s="64">
        <v>0</v>
      </c>
      <c r="AH299" s="64">
        <v>0</v>
      </c>
      <c r="AI299" s="64">
        <v>6742685.0844485993</v>
      </c>
      <c r="AJ299" s="64">
        <v>0</v>
      </c>
      <c r="AK299" s="64">
        <v>3500833.3089198</v>
      </c>
      <c r="AL299" s="64">
        <v>0</v>
      </c>
      <c r="AM299" s="64">
        <v>1863648.8813</v>
      </c>
      <c r="AN299" s="65">
        <v>199239.49849999999</v>
      </c>
      <c r="AO299" s="66">
        <v>382226.71546227997</v>
      </c>
      <c r="AP299" s="128">
        <f>+N299-'Приложение №2'!E308</f>
        <v>0</v>
      </c>
      <c r="AQ299" s="38">
        <v>4743042.5999999996</v>
      </c>
      <c r="AR299" s="25">
        <f>+(K299*10.5+L299*21)*12*0.85</f>
        <v>795153.23999999987</v>
      </c>
      <c r="AS299" s="25">
        <f>+(K299*10.5+L299*21)*12*30</f>
        <v>28064231.999999996</v>
      </c>
      <c r="AT299" s="127">
        <f>+S299-AS299</f>
        <v>0</v>
      </c>
      <c r="AU299" s="127">
        <f>+P299-'[6]Приложение №1'!$P566</f>
        <v>0</v>
      </c>
      <c r="AV299" s="127">
        <f>+Q299-'[6]Приложение №1'!$Q566</f>
        <v>0</v>
      </c>
      <c r="AW299" s="88">
        <f>SUBTOTAL(9,AX299:BL299)</f>
        <v>51520579.943774581</v>
      </c>
      <c r="AX299" s="64">
        <v>10832940.95979899</v>
      </c>
      <c r="AY299" s="64">
        <v>0</v>
      </c>
      <c r="AZ299" s="64">
        <v>4033071.5218924792</v>
      </c>
      <c r="BA299" s="64">
        <v>0</v>
      </c>
      <c r="BB299" s="64">
        <v>0</v>
      </c>
      <c r="BC299" s="64"/>
      <c r="BD299" s="64">
        <v>415667.98664415837</v>
      </c>
      <c r="BE299" s="64">
        <v>0</v>
      </c>
      <c r="BF299" s="64">
        <v>19804228.847171031</v>
      </c>
      <c r="BG299" s="64">
        <v>0</v>
      </c>
      <c r="BH299" s="64">
        <v>10282453.061145633</v>
      </c>
      <c r="BI299" s="64">
        <v>0</v>
      </c>
      <c r="BJ299" s="64">
        <v>4644897.5689717317</v>
      </c>
      <c r="BK299" s="65">
        <v>515205.79943774588</v>
      </c>
      <c r="BL299" s="66">
        <v>992114.19871281344</v>
      </c>
    </row>
    <row r="300" spans="1:64" x14ac:dyDescent="0.25">
      <c r="A300" s="141">
        <f t="shared" si="129"/>
        <v>282</v>
      </c>
      <c r="B300" s="142">
        <f t="shared" si="130"/>
        <v>94</v>
      </c>
      <c r="C300" s="62" t="s">
        <v>52</v>
      </c>
      <c r="D300" s="62" t="s">
        <v>693</v>
      </c>
      <c r="E300" s="123">
        <v>1990</v>
      </c>
      <c r="F300" s="123">
        <v>2005</v>
      </c>
      <c r="G300" s="123" t="s">
        <v>43</v>
      </c>
      <c r="H300" s="123">
        <v>5</v>
      </c>
      <c r="I300" s="123">
        <v>4</v>
      </c>
      <c r="J300" s="64">
        <v>4982</v>
      </c>
      <c r="K300" s="64">
        <v>4404.6000000000004</v>
      </c>
      <c r="L300" s="64">
        <v>0</v>
      </c>
      <c r="M300" s="124">
        <v>212</v>
      </c>
      <c r="N300" s="63">
        <f>SUM(O300:T300)</f>
        <v>4577622.6536000008</v>
      </c>
      <c r="O300" s="64"/>
      <c r="P300" s="65">
        <v>1226851.3124999998</v>
      </c>
      <c r="Q300" s="65"/>
      <c r="R300" s="65">
        <f>+AQ300+AR300</f>
        <v>627783.5299999998</v>
      </c>
      <c r="S300" s="65">
        <v>0</v>
      </c>
      <c r="T300" s="65">
        <f>+'Приложение №2'!E309-'Приложение №1'!P300-'Приложение №1'!R300-'Приложение №1'!S300</f>
        <v>2722987.811100001</v>
      </c>
      <c r="U300" s="65">
        <f>N300/K300</f>
        <v>1039.2822625437043</v>
      </c>
      <c r="V300" s="65">
        <v>1285.2830200640001</v>
      </c>
      <c r="W300" s="126">
        <v>2023</v>
      </c>
      <c r="X300" s="127" t="e">
        <f>+#REF!-'[1]Приложение №1'!$P1394</f>
        <v>#REF!</v>
      </c>
      <c r="Z300" s="63">
        <f>SUM(AA300:AO300)</f>
        <v>49032236.020000011</v>
      </c>
      <c r="AA300" s="64">
        <v>0</v>
      </c>
      <c r="AB300" s="64">
        <v>0</v>
      </c>
      <c r="AC300" s="64">
        <v>4479661.5288129607</v>
      </c>
      <c r="AD300" s="64">
        <v>0</v>
      </c>
      <c r="AE300" s="64">
        <v>0</v>
      </c>
      <c r="AF300" s="64"/>
      <c r="AG300" s="64">
        <v>0</v>
      </c>
      <c r="AH300" s="64">
        <v>0</v>
      </c>
      <c r="AI300" s="64">
        <v>13044373.2933948</v>
      </c>
      <c r="AJ300" s="64">
        <v>0</v>
      </c>
      <c r="AK300" s="64">
        <v>25325724.749393042</v>
      </c>
      <c r="AL300" s="64">
        <v>0</v>
      </c>
      <c r="AM300" s="64">
        <v>4755116.6318000006</v>
      </c>
      <c r="AN300" s="65">
        <v>490322.3602</v>
      </c>
      <c r="AO300" s="66">
        <v>937037.45639919979</v>
      </c>
      <c r="AP300" s="128">
        <f>+N300-'Приложение №2'!E309</f>
        <v>0</v>
      </c>
      <c r="AQ300" s="127">
        <f>2706527.87-R88</f>
        <v>156050.86999999965</v>
      </c>
      <c r="AR300" s="25">
        <f>+(K300*10.5+L300*21)*12*0.85</f>
        <v>471732.66000000009</v>
      </c>
      <c r="AS300" s="25">
        <f>+(K300*10.5+L300*21)*12*30-S88</f>
        <v>411357.19838784821</v>
      </c>
      <c r="AT300" s="127">
        <f>+S300-AS300</f>
        <v>-411357.19838784821</v>
      </c>
      <c r="AU300" s="127">
        <f>+P300-'[6]Приложение №1'!$P568</f>
        <v>0</v>
      </c>
      <c r="AV300" s="127">
        <f>+Q300-'[6]Приложение №1'!$Q568</f>
        <v>0</v>
      </c>
      <c r="AW300" s="88">
        <f>SUBTOTAL(9,AX300:BL300)</f>
        <v>4577622.6536000008</v>
      </c>
      <c r="AX300" s="64">
        <v>0</v>
      </c>
      <c r="AY300" s="64">
        <v>0</v>
      </c>
      <c r="AZ300" s="64">
        <v>4479661.5288129607</v>
      </c>
      <c r="BA300" s="64">
        <v>0</v>
      </c>
      <c r="BB300" s="64">
        <v>0</v>
      </c>
      <c r="BC300" s="64"/>
      <c r="BD300" s="64"/>
      <c r="BE300" s="64">
        <v>0</v>
      </c>
      <c r="BF300" s="64"/>
      <c r="BG300" s="64"/>
      <c r="BH300" s="64"/>
      <c r="BI300" s="64">
        <v>0</v>
      </c>
      <c r="BJ300" s="64"/>
      <c r="BK300" s="65"/>
      <c r="BL300" s="66">
        <v>97961.124787040011</v>
      </c>
    </row>
    <row r="301" spans="1:64" x14ac:dyDescent="0.25">
      <c r="A301" s="141">
        <f t="shared" si="129"/>
        <v>283</v>
      </c>
      <c r="B301" s="142">
        <f t="shared" si="130"/>
        <v>95</v>
      </c>
      <c r="C301" s="62" t="s">
        <v>52</v>
      </c>
      <c r="D301" s="62" t="s">
        <v>237</v>
      </c>
      <c r="E301" s="123">
        <v>1970</v>
      </c>
      <c r="F301" s="123">
        <v>2013</v>
      </c>
      <c r="G301" s="123" t="s">
        <v>43</v>
      </c>
      <c r="H301" s="123">
        <v>5</v>
      </c>
      <c r="I301" s="123">
        <v>4</v>
      </c>
      <c r="J301" s="64">
        <v>3068</v>
      </c>
      <c r="K301" s="64">
        <v>2483.8000000000002</v>
      </c>
      <c r="L301" s="64">
        <v>584.20000000000005</v>
      </c>
      <c r="M301" s="124">
        <v>142</v>
      </c>
      <c r="N301" s="95">
        <f t="shared" si="126"/>
        <v>14557148.33536532</v>
      </c>
      <c r="O301" s="64"/>
      <c r="P301" s="65">
        <v>3218407.5900000003</v>
      </c>
      <c r="Q301" s="65"/>
      <c r="R301" s="65">
        <f t="shared" ref="R301:R312" si="147">+AQ301+AR301</f>
        <v>738446.42463467992</v>
      </c>
      <c r="S301" s="65">
        <f>+'Приложение №2'!E310-'Приложение №1'!R301-P301</f>
        <v>10600294.32073064</v>
      </c>
      <c r="T301" s="64"/>
      <c r="U301" s="65">
        <f t="shared" si="128"/>
        <v>4744.8332253472363</v>
      </c>
      <c r="V301" s="65">
        <f t="shared" si="128"/>
        <v>4744.8332253472363</v>
      </c>
      <c r="W301" s="126">
        <v>2023</v>
      </c>
      <c r="X301" s="127" t="e">
        <f>+#REF!-'[1]Приложение №1'!$P1641</f>
        <v>#REF!</v>
      </c>
      <c r="Z301" s="63">
        <f t="shared" si="140"/>
        <v>25875618.41</v>
      </c>
      <c r="AA301" s="64">
        <v>5945419.54417866</v>
      </c>
      <c r="AB301" s="64">
        <v>2118597.4078747798</v>
      </c>
      <c r="AC301" s="64">
        <v>2213462.8846331402</v>
      </c>
      <c r="AD301" s="64">
        <v>1385767.7235401999</v>
      </c>
      <c r="AE301" s="64">
        <v>0</v>
      </c>
      <c r="AF301" s="64"/>
      <c r="AG301" s="64">
        <v>228142.02967667999</v>
      </c>
      <c r="AH301" s="64">
        <v>0</v>
      </c>
      <c r="AI301" s="64">
        <v>10869131.540912401</v>
      </c>
      <c r="AJ301" s="64">
        <v>0</v>
      </c>
      <c r="AK301" s="64">
        <v>0</v>
      </c>
      <c r="AL301" s="64">
        <v>0</v>
      </c>
      <c r="AM301" s="64">
        <v>2358614.5958000002</v>
      </c>
      <c r="AN301" s="65">
        <v>258756.18410000001</v>
      </c>
      <c r="AO301" s="66">
        <v>497726.49928414001</v>
      </c>
      <c r="AP301" s="128">
        <f>+N301-'Приложение №2'!E310</f>
        <v>0</v>
      </c>
      <c r="AQ301" s="127">
        <f>504168.77-R89</f>
        <v>365922.02463468001</v>
      </c>
      <c r="AR301" s="25">
        <f t="shared" si="135"/>
        <v>372524.39999999997</v>
      </c>
      <c r="AS301" s="25">
        <f>+(K301*10+L301*20)*12*30-S89</f>
        <v>12090910.84</v>
      </c>
      <c r="AT301" s="127">
        <f t="shared" si="131"/>
        <v>-1490616.5192693602</v>
      </c>
      <c r="AU301" s="127">
        <f>+P301-'[6]Приложение №1'!$P282</f>
        <v>0</v>
      </c>
      <c r="AV301" s="127">
        <f>+Q301-'[6]Приложение №1'!$Q282</f>
        <v>0</v>
      </c>
      <c r="AW301" s="63">
        <f t="shared" si="132"/>
        <v>14557148.33536532</v>
      </c>
      <c r="AX301" s="64">
        <v>6546503.21</v>
      </c>
      <c r="AY301" s="64">
        <v>2315850.2599999998</v>
      </c>
      <c r="AZ301" s="64"/>
      <c r="BA301" s="64"/>
      <c r="BB301" s="64"/>
      <c r="BC301" s="64"/>
      <c r="BD301" s="64"/>
      <c r="BE301" s="64"/>
      <c r="BF301" s="64">
        <v>5556548.1200000001</v>
      </c>
      <c r="BG301" s="64">
        <v>0</v>
      </c>
      <c r="BH301" s="64">
        <v>0</v>
      </c>
      <c r="BI301" s="64">
        <v>0</v>
      </c>
      <c r="BJ301" s="64"/>
      <c r="BK301" s="65"/>
      <c r="BL301" s="66">
        <v>138246.74536532001</v>
      </c>
    </row>
    <row r="302" spans="1:64" ht="15.75" customHeight="1" x14ac:dyDescent="0.25">
      <c r="A302" s="141">
        <f t="shared" si="129"/>
        <v>284</v>
      </c>
      <c r="B302" s="142">
        <f t="shared" si="130"/>
        <v>96</v>
      </c>
      <c r="C302" s="62" t="s">
        <v>52</v>
      </c>
      <c r="D302" s="62" t="s">
        <v>752</v>
      </c>
      <c r="E302" s="123">
        <v>1985</v>
      </c>
      <c r="F302" s="123">
        <v>2013</v>
      </c>
      <c r="G302" s="123" t="s">
        <v>43</v>
      </c>
      <c r="H302" s="123">
        <v>4</v>
      </c>
      <c r="I302" s="123">
        <v>3</v>
      </c>
      <c r="J302" s="64">
        <v>4161.1499999999996</v>
      </c>
      <c r="K302" s="64">
        <v>3740.02</v>
      </c>
      <c r="L302" s="64">
        <v>392.4</v>
      </c>
      <c r="M302" s="124">
        <v>277</v>
      </c>
      <c r="N302" s="63">
        <f>SUM(O302:T302)</f>
        <v>3922392.2040869799</v>
      </c>
      <c r="O302" s="64"/>
      <c r="P302" s="65"/>
      <c r="Q302" s="65"/>
      <c r="R302" s="65">
        <v>2278497.5199999996</v>
      </c>
      <c r="S302" s="65">
        <v>1207782.0900000001</v>
      </c>
      <c r="T302" s="65">
        <f>+'Приложение №2'!E311-'Приложение №1'!P302-'Приложение №1'!R302-'Приложение №1'!S302</f>
        <v>436112.59408698021</v>
      </c>
      <c r="U302" s="65">
        <f>N302/K302</f>
        <v>1048.7623606523441</v>
      </c>
      <c r="V302" s="65">
        <v>1286.2830200640001</v>
      </c>
      <c r="W302" s="126">
        <v>2023</v>
      </c>
      <c r="X302" s="127" t="e">
        <f>+#REF!-'[1]Приложение №1'!$P669</f>
        <v>#REF!</v>
      </c>
      <c r="Z302" s="63">
        <f>SUM(AA302:AO302)</f>
        <v>14208184.490000004</v>
      </c>
      <c r="AA302" s="64">
        <v>0</v>
      </c>
      <c r="AB302" s="64">
        <v>0</v>
      </c>
      <c r="AC302" s="64">
        <v>3486279.6066130204</v>
      </c>
      <c r="AD302" s="64">
        <v>0</v>
      </c>
      <c r="AE302" s="64">
        <v>0</v>
      </c>
      <c r="AF302" s="64"/>
      <c r="AG302" s="64">
        <v>0</v>
      </c>
      <c r="AH302" s="64">
        <v>0</v>
      </c>
      <c r="AI302" s="64">
        <v>0</v>
      </c>
      <c r="AJ302" s="64">
        <v>0</v>
      </c>
      <c r="AK302" s="64">
        <v>8888395.5076904409</v>
      </c>
      <c r="AL302" s="64">
        <v>0</v>
      </c>
      <c r="AM302" s="64">
        <v>1420818.449</v>
      </c>
      <c r="AN302" s="65">
        <v>142081.8449</v>
      </c>
      <c r="AO302" s="66">
        <v>270609.08179653995</v>
      </c>
      <c r="AP302" s="128">
        <f>+N302-'Приложение №2'!E311</f>
        <v>0</v>
      </c>
      <c r="AQ302" s="38">
        <v>2221476.85</v>
      </c>
      <c r="AR302" s="25">
        <f>+(K302*10.5+L302*21)*12*0.85</f>
        <v>484608.22200000007</v>
      </c>
      <c r="AS302" s="25">
        <f>+(K302*10.5+L302*21)*12*30</f>
        <v>17103819.600000001</v>
      </c>
      <c r="AT302" s="127">
        <f>+S302-AS302</f>
        <v>-15896037.510000002</v>
      </c>
      <c r="AU302" s="127">
        <f>+P302-'[6]Приложение №1'!$P569</f>
        <v>0</v>
      </c>
      <c r="AV302" s="127">
        <f>+Q302-'[6]Приложение №1'!$Q569</f>
        <v>0</v>
      </c>
      <c r="AW302" s="88">
        <f>SUBTOTAL(9,AX302:BL302)</f>
        <v>3922392.2040869799</v>
      </c>
      <c r="AX302" s="64">
        <v>0</v>
      </c>
      <c r="AY302" s="64">
        <v>0</v>
      </c>
      <c r="AZ302" s="64">
        <v>3846154.33</v>
      </c>
      <c r="BA302" s="64">
        <v>0</v>
      </c>
      <c r="BB302" s="64">
        <v>0</v>
      </c>
      <c r="BC302" s="64"/>
      <c r="BD302" s="64"/>
      <c r="BE302" s="64">
        <v>0</v>
      </c>
      <c r="BF302" s="64">
        <v>0</v>
      </c>
      <c r="BG302" s="64">
        <v>0</v>
      </c>
      <c r="BH302" s="64"/>
      <c r="BI302" s="64">
        <v>0</v>
      </c>
      <c r="BJ302" s="64"/>
      <c r="BK302" s="65"/>
      <c r="BL302" s="66">
        <v>76237.874086980009</v>
      </c>
    </row>
    <row r="303" spans="1:64" x14ac:dyDescent="0.25">
      <c r="A303" s="141">
        <f t="shared" si="129"/>
        <v>285</v>
      </c>
      <c r="B303" s="142">
        <f t="shared" si="130"/>
        <v>97</v>
      </c>
      <c r="C303" s="62" t="s">
        <v>52</v>
      </c>
      <c r="D303" s="62" t="s">
        <v>548</v>
      </c>
      <c r="E303" s="123">
        <v>1987</v>
      </c>
      <c r="F303" s="123">
        <v>2013</v>
      </c>
      <c r="G303" s="123" t="s">
        <v>43</v>
      </c>
      <c r="H303" s="123">
        <v>5</v>
      </c>
      <c r="I303" s="123">
        <v>6</v>
      </c>
      <c r="J303" s="64">
        <v>6859.9</v>
      </c>
      <c r="K303" s="64">
        <v>6097.04</v>
      </c>
      <c r="L303" s="64">
        <v>117.7</v>
      </c>
      <c r="M303" s="124">
        <v>283</v>
      </c>
      <c r="N303" s="95">
        <f t="shared" si="126"/>
        <v>17355621.362</v>
      </c>
      <c r="O303" s="64"/>
      <c r="P303" s="65"/>
      <c r="Q303" s="65"/>
      <c r="R303" s="65">
        <f t="shared" si="147"/>
        <v>4090538.15</v>
      </c>
      <c r="S303" s="65">
        <f>+'Приложение №2'!E312-'Приложение №1'!R303-P303</f>
        <v>13265083.211999999</v>
      </c>
      <c r="T303" s="65">
        <v>0</v>
      </c>
      <c r="U303" s="64">
        <f t="shared" si="128"/>
        <v>2792.6544573063393</v>
      </c>
      <c r="V303" s="64">
        <f t="shared" si="128"/>
        <v>2792.6544573063393</v>
      </c>
      <c r="W303" s="126">
        <v>2023</v>
      </c>
      <c r="X303" s="127" t="e">
        <f>+#REF!-'[1]Приложение №1'!$P760</f>
        <v>#REF!</v>
      </c>
      <c r="Z303" s="63">
        <f t="shared" si="140"/>
        <v>34989133.449999996</v>
      </c>
      <c r="AA303" s="64">
        <v>10381481.975843159</v>
      </c>
      <c r="AB303" s="64">
        <v>6003894.8349029999</v>
      </c>
      <c r="AC303" s="64">
        <v>6346561.3828171799</v>
      </c>
      <c r="AD303" s="64">
        <v>4839307.0097500803</v>
      </c>
      <c r="AE303" s="64">
        <v>1933204.0846683602</v>
      </c>
      <c r="AF303" s="64"/>
      <c r="AG303" s="64">
        <v>515853.10536480002</v>
      </c>
      <c r="AH303" s="64">
        <v>0</v>
      </c>
      <c r="AI303" s="64">
        <v>0</v>
      </c>
      <c r="AJ303" s="64">
        <v>0</v>
      </c>
      <c r="AK303" s="64">
        <v>0</v>
      </c>
      <c r="AL303" s="64">
        <v>0</v>
      </c>
      <c r="AM303" s="64">
        <v>3962456.5102000004</v>
      </c>
      <c r="AN303" s="65">
        <v>349891.33450000006</v>
      </c>
      <c r="AO303" s="66">
        <v>656483.21195342008</v>
      </c>
      <c r="AP303" s="128">
        <f>+N303-'Приложение №2'!E312</f>
        <v>0</v>
      </c>
      <c r="AQ303" s="67">
        <v>3444629.27</v>
      </c>
      <c r="AR303" s="25">
        <f t="shared" si="135"/>
        <v>645908.88</v>
      </c>
      <c r="AS303" s="25">
        <f>+(K303*10+L303*20)*12*30</f>
        <v>22796784</v>
      </c>
      <c r="AT303" s="127">
        <f t="shared" si="131"/>
        <v>-9531700.7880000006</v>
      </c>
      <c r="AU303" s="127"/>
      <c r="AV303" s="127"/>
      <c r="AW303" s="63">
        <f t="shared" si="132"/>
        <v>22137159.737415999</v>
      </c>
      <c r="AX303" s="64">
        <v>8773415.9399999995</v>
      </c>
      <c r="AY303" s="64"/>
      <c r="AZ303" s="64">
        <v>7093798.1322179995</v>
      </c>
      <c r="BA303" s="64">
        <v>5581283.0731980009</v>
      </c>
      <c r="BB303" s="64"/>
      <c r="BC303" s="64"/>
      <c r="BD303" s="64"/>
      <c r="BE303" s="64"/>
      <c r="BF303" s="64"/>
      <c r="BG303" s="64"/>
      <c r="BH303" s="64"/>
      <c r="BI303" s="64"/>
      <c r="BJ303" s="64">
        <v>128556.376</v>
      </c>
      <c r="BK303" s="65">
        <v>23378.916000000001</v>
      </c>
      <c r="BL303" s="66">
        <v>536727.30000000005</v>
      </c>
    </row>
    <row r="304" spans="1:64" x14ac:dyDescent="0.25">
      <c r="A304" s="141">
        <f t="shared" si="129"/>
        <v>286</v>
      </c>
      <c r="B304" s="142">
        <f t="shared" si="130"/>
        <v>98</v>
      </c>
      <c r="C304" s="62" t="s">
        <v>52</v>
      </c>
      <c r="D304" s="62" t="s">
        <v>715</v>
      </c>
      <c r="E304" s="123">
        <v>1972</v>
      </c>
      <c r="F304" s="123">
        <v>2013</v>
      </c>
      <c r="G304" s="123" t="s">
        <v>43</v>
      </c>
      <c r="H304" s="123">
        <v>4</v>
      </c>
      <c r="I304" s="123">
        <v>4</v>
      </c>
      <c r="J304" s="64">
        <v>3047.8</v>
      </c>
      <c r="K304" s="64">
        <v>2789.4</v>
      </c>
      <c r="L304" s="64">
        <v>0</v>
      </c>
      <c r="M304" s="124">
        <v>107</v>
      </c>
      <c r="N304" s="95">
        <f t="shared" si="126"/>
        <v>20567022.492345843</v>
      </c>
      <c r="O304" s="64"/>
      <c r="P304" s="65">
        <v>346316.57546666998</v>
      </c>
      <c r="Q304" s="65"/>
      <c r="R304" s="65">
        <f t="shared" si="147"/>
        <v>823386.06360000011</v>
      </c>
      <c r="S304" s="65">
        <f>+AS304</f>
        <v>0</v>
      </c>
      <c r="T304" s="65">
        <f>+'Приложение №2'!E313-'Приложение №1'!P304-'Приложение №1'!R304-'Приложение №1'!S304</f>
        <v>19397319.853279173</v>
      </c>
      <c r="U304" s="64">
        <f t="shared" si="128"/>
        <v>7373.2783008338147</v>
      </c>
      <c r="V304" s="64">
        <f t="shared" si="128"/>
        <v>7373.2783008338147</v>
      </c>
      <c r="W304" s="126">
        <v>2023</v>
      </c>
      <c r="X304" s="127"/>
      <c r="Z304" s="63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6"/>
      <c r="AP304" s="128">
        <f>+N304-'Приложение №2'!E313</f>
        <v>0</v>
      </c>
      <c r="AQ304" s="23">
        <f>1184908.35-361522.2864</f>
        <v>823386.06360000011</v>
      </c>
      <c r="AT304" s="127">
        <f t="shared" si="131"/>
        <v>0</v>
      </c>
      <c r="AU304" s="127">
        <f>+P304-'[6]Приложение №1'!$P283</f>
        <v>-3999999.9999999963</v>
      </c>
      <c r="AV304" s="127">
        <f>+Q304-'[6]Приложение №1'!$Q28</f>
        <v>0</v>
      </c>
      <c r="AW304" s="63">
        <f t="shared" si="132"/>
        <v>20567022.492345843</v>
      </c>
      <c r="AX304" s="64"/>
      <c r="AY304" s="64"/>
      <c r="AZ304" s="64"/>
      <c r="BA304" s="64"/>
      <c r="BB304" s="64"/>
      <c r="BC304" s="64"/>
      <c r="BD304" s="64">
        <v>0</v>
      </c>
      <c r="BE304" s="64">
        <v>0</v>
      </c>
      <c r="BF304" s="64">
        <v>12209113.6236846</v>
      </c>
      <c r="BG304" s="64">
        <v>0</v>
      </c>
      <c r="BH304" s="64"/>
      <c r="BI304" s="64">
        <v>6818312.1307106828</v>
      </c>
      <c r="BJ304" s="64">
        <v>684163.08</v>
      </c>
      <c r="BK304" s="64"/>
      <c r="BL304" s="66">
        <v>855433.65795056196</v>
      </c>
    </row>
    <row r="305" spans="1:64" x14ac:dyDescent="0.25">
      <c r="A305" s="141">
        <f t="shared" si="129"/>
        <v>287</v>
      </c>
      <c r="B305" s="142">
        <f t="shared" si="130"/>
        <v>99</v>
      </c>
      <c r="C305" s="62" t="s">
        <v>52</v>
      </c>
      <c r="D305" s="62" t="s">
        <v>716</v>
      </c>
      <c r="E305" s="123">
        <v>1974</v>
      </c>
      <c r="F305" s="123">
        <v>2013</v>
      </c>
      <c r="G305" s="123" t="s">
        <v>43</v>
      </c>
      <c r="H305" s="123">
        <v>4</v>
      </c>
      <c r="I305" s="123">
        <v>4</v>
      </c>
      <c r="J305" s="64">
        <v>2989.2</v>
      </c>
      <c r="K305" s="64">
        <v>2536.9</v>
      </c>
      <c r="L305" s="64">
        <v>230.9</v>
      </c>
      <c r="M305" s="124">
        <v>90</v>
      </c>
      <c r="N305" s="95">
        <f t="shared" si="126"/>
        <v>19817837.824958891</v>
      </c>
      <c r="O305" s="64"/>
      <c r="P305" s="65">
        <f>4427463.1917-1684428.35</f>
        <v>2743034.8417000002</v>
      </c>
      <c r="Q305" s="65"/>
      <c r="R305" s="65">
        <f t="shared" si="147"/>
        <v>444157.56489999988</v>
      </c>
      <c r="S305" s="65">
        <f>+AS305</f>
        <v>0</v>
      </c>
      <c r="T305" s="65">
        <f>+'Приложение №2'!E314-'Приложение №1'!P305-'Приложение №1'!R305-'Приложение №1'!S305</f>
        <v>16630645.418358892</v>
      </c>
      <c r="U305" s="64">
        <f t="shared" si="128"/>
        <v>7160.1408428928717</v>
      </c>
      <c r="V305" s="64">
        <f t="shared" si="128"/>
        <v>7160.1408428928717</v>
      </c>
      <c r="W305" s="126">
        <v>2023</v>
      </c>
      <c r="X305" s="127"/>
      <c r="Z305" s="63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6"/>
      <c r="AP305" s="128">
        <f>+N305-'Приложение №2'!E314</f>
        <v>0</v>
      </c>
      <c r="AQ305" s="23">
        <f>1292399.14-848241.5751</f>
        <v>444157.56489999988</v>
      </c>
      <c r="AT305" s="127">
        <f t="shared" si="131"/>
        <v>0</v>
      </c>
      <c r="AU305" s="127">
        <f>+P305-'[6]Приложение №1'!$P284</f>
        <v>-1684428.35</v>
      </c>
      <c r="AV305" s="127">
        <f>+Q305-'[6]Приложение №1'!$Q29</f>
        <v>0</v>
      </c>
      <c r="AW305" s="63">
        <f t="shared" si="132"/>
        <v>19823053.824958891</v>
      </c>
      <c r="AX305" s="64"/>
      <c r="AY305" s="64"/>
      <c r="AZ305" s="64"/>
      <c r="BA305" s="64"/>
      <c r="BB305" s="64"/>
      <c r="BC305" s="64"/>
      <c r="BD305" s="64">
        <v>0</v>
      </c>
      <c r="BE305" s="64">
        <v>0</v>
      </c>
      <c r="BF305" s="64">
        <v>12089519.128083602</v>
      </c>
      <c r="BG305" s="64">
        <v>0</v>
      </c>
      <c r="BH305" s="64"/>
      <c r="BI305" s="64">
        <v>6201109.93202837</v>
      </c>
      <c r="BJ305" s="64">
        <v>684163.08</v>
      </c>
      <c r="BK305" s="64"/>
      <c r="BL305" s="66">
        <v>848261.6848469231</v>
      </c>
    </row>
    <row r="306" spans="1:64" x14ac:dyDescent="0.25">
      <c r="A306" s="141">
        <f t="shared" si="129"/>
        <v>288</v>
      </c>
      <c r="B306" s="142">
        <f t="shared" si="130"/>
        <v>100</v>
      </c>
      <c r="C306" s="62" t="s">
        <v>52</v>
      </c>
      <c r="D306" s="62" t="s">
        <v>694</v>
      </c>
      <c r="E306" s="123">
        <v>1976</v>
      </c>
      <c r="F306" s="123">
        <v>2013</v>
      </c>
      <c r="G306" s="123" t="s">
        <v>43</v>
      </c>
      <c r="H306" s="123">
        <v>4</v>
      </c>
      <c r="I306" s="123">
        <v>6</v>
      </c>
      <c r="J306" s="64">
        <v>5727.3</v>
      </c>
      <c r="K306" s="64">
        <v>4928.1000000000004</v>
      </c>
      <c r="L306" s="64">
        <v>70.7</v>
      </c>
      <c r="M306" s="124">
        <v>234</v>
      </c>
      <c r="N306" s="63">
        <f>SUM(O306:T306)</f>
        <v>5232438.4238859992</v>
      </c>
      <c r="O306" s="64"/>
      <c r="P306" s="65"/>
      <c r="Q306" s="65"/>
      <c r="R306" s="65">
        <f>+AQ306+AR306</f>
        <v>3066162.8788139997</v>
      </c>
      <c r="S306" s="65">
        <f>+'Приложение №2'!E315-'Приложение №1'!R306</f>
        <v>2166275.5450719995</v>
      </c>
      <c r="T306" s="65">
        <v>0</v>
      </c>
      <c r="U306" s="65">
        <f>N306/K306</f>
        <v>1061.7557322063267</v>
      </c>
      <c r="V306" s="65">
        <v>1292.2830200640001</v>
      </c>
      <c r="W306" s="126">
        <v>2023</v>
      </c>
      <c r="X306" s="127">
        <f>+S306-'[1]Приложение №1'!$P1153</f>
        <v>793464.58507199935</v>
      </c>
      <c r="Z306" s="63">
        <f>SUM(AA306:AO306)</f>
        <v>8101376.7311859997</v>
      </c>
      <c r="AA306" s="64">
        <v>0</v>
      </c>
      <c r="AB306" s="64">
        <v>0</v>
      </c>
      <c r="AC306" s="64">
        <v>5108867.6053762194</v>
      </c>
      <c r="AD306" s="64">
        <v>0</v>
      </c>
      <c r="AE306" s="64">
        <v>2022198.06</v>
      </c>
      <c r="AF306" s="64"/>
      <c r="AG306" s="64">
        <v>0</v>
      </c>
      <c r="AH306" s="64">
        <v>0</v>
      </c>
      <c r="AI306" s="64">
        <v>0</v>
      </c>
      <c r="AJ306" s="64">
        <v>0</v>
      </c>
      <c r="AK306" s="64">
        <v>0</v>
      </c>
      <c r="AL306" s="64">
        <v>0</v>
      </c>
      <c r="AM306" s="64">
        <v>786081.95299999998</v>
      </c>
      <c r="AN306" s="65">
        <v>60658.294300000001</v>
      </c>
      <c r="AO306" s="66">
        <v>123570.81850978</v>
      </c>
      <c r="AP306" s="128">
        <f>+N306-'Приложение №2'!E315</f>
        <v>0</v>
      </c>
      <c r="AQ306" s="127">
        <f>2797278.8-R95</f>
        <v>2523219.4288139995</v>
      </c>
      <c r="AR306" s="25">
        <f>+(K306*10.5+L306*21)*12*0.85</f>
        <v>542943.44999999995</v>
      </c>
      <c r="AS306" s="25">
        <f>+(K306*10.5+L306*21)*12*30-S95</f>
        <v>18696706.41</v>
      </c>
      <c r="AT306" s="127">
        <f>+S306-AS306</f>
        <v>-16530430.864928</v>
      </c>
      <c r="AU306" s="127">
        <f>+P306-'[6]Приложение №1'!$P575</f>
        <v>0</v>
      </c>
      <c r="AV306" s="127">
        <f>+Q306-'[6]Приложение №1'!$Q575</f>
        <v>0</v>
      </c>
      <c r="AW306" s="88">
        <f>SUBTOTAL(9,AX306:BL306)</f>
        <v>5232438.4238859992</v>
      </c>
      <c r="AX306" s="64">
        <v>0</v>
      </c>
      <c r="AY306" s="64">
        <v>0</v>
      </c>
      <c r="AZ306" s="64">
        <v>5108867.6053762194</v>
      </c>
      <c r="BA306" s="64">
        <v>0</v>
      </c>
      <c r="BB306" s="64"/>
      <c r="BC306" s="64"/>
      <c r="BD306" s="64"/>
      <c r="BE306" s="64">
        <v>0</v>
      </c>
      <c r="BF306" s="64">
        <v>0</v>
      </c>
      <c r="BG306" s="64">
        <v>0</v>
      </c>
      <c r="BH306" s="64">
        <v>0</v>
      </c>
      <c r="BI306" s="64">
        <v>0</v>
      </c>
      <c r="BJ306" s="64"/>
      <c r="BK306" s="65"/>
      <c r="BL306" s="66">
        <v>123570.81850978</v>
      </c>
    </row>
    <row r="307" spans="1:64" s="74" customFormat="1" x14ac:dyDescent="0.25">
      <c r="A307" s="141">
        <f t="shared" si="129"/>
        <v>289</v>
      </c>
      <c r="B307" s="142">
        <f t="shared" si="130"/>
        <v>101</v>
      </c>
      <c r="C307" s="62" t="s">
        <v>52</v>
      </c>
      <c r="D307" s="62" t="s">
        <v>717</v>
      </c>
      <c r="E307" s="123" t="s">
        <v>116</v>
      </c>
      <c r="F307" s="123"/>
      <c r="G307" s="123" t="s">
        <v>43</v>
      </c>
      <c r="H307" s="123" t="s">
        <v>105</v>
      </c>
      <c r="I307" s="123" t="s">
        <v>105</v>
      </c>
      <c r="J307" s="64">
        <v>4032.8</v>
      </c>
      <c r="K307" s="64">
        <v>3458.5</v>
      </c>
      <c r="L307" s="64">
        <v>0</v>
      </c>
      <c r="M307" s="124">
        <v>156</v>
      </c>
      <c r="N307" s="95">
        <f t="shared" si="126"/>
        <v>51364810.400115281</v>
      </c>
      <c r="O307" s="64">
        <v>0</v>
      </c>
      <c r="P307" s="65">
        <v>9237039.6128709596</v>
      </c>
      <c r="Q307" s="65">
        <v>0</v>
      </c>
      <c r="R307" s="65">
        <f t="shared" si="147"/>
        <v>1975744.77</v>
      </c>
      <c r="S307" s="65">
        <f>+AS307</f>
        <v>12450600</v>
      </c>
      <c r="T307" s="65">
        <f>+'Приложение №2'!E316-'Приложение №1'!P307-'Приложение №1'!R307-'Приложение №1'!S307</f>
        <v>27701426.017244324</v>
      </c>
      <c r="U307" s="64">
        <f t="shared" ref="U307:V330" si="148">$N307/($K307+$L307)</f>
        <v>14851.759548970733</v>
      </c>
      <c r="V307" s="64">
        <f t="shared" si="148"/>
        <v>14851.759548970733</v>
      </c>
      <c r="W307" s="126">
        <v>2023</v>
      </c>
      <c r="X307" s="74">
        <v>1316311.58</v>
      </c>
      <c r="Y307" s="74">
        <f>+(K307*9.1+L307*18.19)*12</f>
        <v>377668.19999999995</v>
      </c>
      <c r="AA307" s="129">
        <f>+N307-'[5]Приложение № 2'!E272</f>
        <v>35671288.030115284</v>
      </c>
      <c r="AD307" s="129">
        <f>+N307-'[5]Приложение № 2'!E272</f>
        <v>35671288.030115284</v>
      </c>
      <c r="AP307" s="128">
        <f>+N307-'Приложение №2'!E316</f>
        <v>0</v>
      </c>
      <c r="AQ307" s="74">
        <v>1622977.77</v>
      </c>
      <c r="AR307" s="25">
        <f t="shared" ref="AR307:AR338" si="149">+(K307*10+L307*20)*12*0.85</f>
        <v>352767</v>
      </c>
      <c r="AS307" s="25">
        <f>+(K307*10+L307*20)*12*30</f>
        <v>12450600</v>
      </c>
      <c r="AT307" s="127">
        <f t="shared" si="131"/>
        <v>0</v>
      </c>
      <c r="AU307" s="127">
        <f>+P307-'[6]Приложение №1'!$P285</f>
        <v>0</v>
      </c>
      <c r="AV307" s="127">
        <f>+Q307-'[6]Приложение №1'!$Q30</f>
        <v>0</v>
      </c>
      <c r="AW307" s="63">
        <f t="shared" si="132"/>
        <v>51364810.400115289</v>
      </c>
      <c r="AX307" s="64">
        <v>6144729.9015154075</v>
      </c>
      <c r="AY307" s="64">
        <v>3579457.7618007269</v>
      </c>
      <c r="AZ307" s="64">
        <v>3887139.10374681</v>
      </c>
      <c r="BA307" s="64">
        <v>2975701.9584087268</v>
      </c>
      <c r="BB307" s="64">
        <v>1375468.2230831808</v>
      </c>
      <c r="BC307" s="64"/>
      <c r="BD307" s="64">
        <v>292698.95808608586</v>
      </c>
      <c r="BE307" s="64"/>
      <c r="BF307" s="64"/>
      <c r="BG307" s="64"/>
      <c r="BH307" s="64">
        <v>22115449.1287481</v>
      </c>
      <c r="BI307" s="64">
        <v>8607388.0582517814</v>
      </c>
      <c r="BJ307" s="64">
        <v>1315726.9200000002</v>
      </c>
      <c r="BK307" s="65"/>
      <c r="BL307" s="66">
        <v>1071050.3864744671</v>
      </c>
    </row>
    <row r="308" spans="1:64" x14ac:dyDescent="0.25">
      <c r="A308" s="141">
        <f t="shared" si="129"/>
        <v>290</v>
      </c>
      <c r="B308" s="142">
        <f t="shared" si="130"/>
        <v>102</v>
      </c>
      <c r="C308" s="62" t="s">
        <v>52</v>
      </c>
      <c r="D308" s="62" t="s">
        <v>1083</v>
      </c>
      <c r="E308" s="123">
        <v>1973</v>
      </c>
      <c r="F308" s="123">
        <v>2013</v>
      </c>
      <c r="G308" s="123" t="s">
        <v>43</v>
      </c>
      <c r="H308" s="123">
        <v>4</v>
      </c>
      <c r="I308" s="123">
        <v>4</v>
      </c>
      <c r="J308" s="64">
        <v>4671.96</v>
      </c>
      <c r="K308" s="64">
        <v>3446.2</v>
      </c>
      <c r="L308" s="64">
        <v>0</v>
      </c>
      <c r="M308" s="124">
        <v>128</v>
      </c>
      <c r="N308" s="95">
        <f t="shared" si="126"/>
        <v>1361469.02</v>
      </c>
      <c r="O308" s="64"/>
      <c r="P308" s="65"/>
      <c r="Q308" s="65"/>
      <c r="R308" s="65">
        <f t="shared" si="147"/>
        <v>1047518.0799999998</v>
      </c>
      <c r="S308" s="65">
        <f>+'Приложение №2'!E317-'Приложение №1'!R308</f>
        <v>313950.94000000018</v>
      </c>
      <c r="T308" s="65">
        <v>0</v>
      </c>
      <c r="U308" s="64">
        <f t="shared" si="148"/>
        <v>395.06384423422901</v>
      </c>
      <c r="V308" s="64">
        <f t="shared" si="148"/>
        <v>395.06384423422901</v>
      </c>
      <c r="W308" s="126">
        <v>2023</v>
      </c>
      <c r="X308" s="127" t="e">
        <f>+#REF!-'[1]Приложение №1'!$P672</f>
        <v>#REF!</v>
      </c>
      <c r="Z308" s="63">
        <f t="shared" ref="Z308:Z322" si="150">SUM(AA308:AO308)</f>
        <v>1550298.52</v>
      </c>
      <c r="AA308" s="64">
        <v>0</v>
      </c>
      <c r="AB308" s="64">
        <v>0</v>
      </c>
      <c r="AC308" s="64">
        <v>0</v>
      </c>
      <c r="AD308" s="64">
        <v>0</v>
      </c>
      <c r="AE308" s="64">
        <v>1350771.93</v>
      </c>
      <c r="AF308" s="64"/>
      <c r="AG308" s="64">
        <v>0</v>
      </c>
      <c r="AH308" s="64">
        <v>0</v>
      </c>
      <c r="AI308" s="64">
        <v>0</v>
      </c>
      <c r="AJ308" s="64">
        <v>0</v>
      </c>
      <c r="AK308" s="64">
        <v>0</v>
      </c>
      <c r="AL308" s="64">
        <v>0</v>
      </c>
      <c r="AM308" s="64">
        <v>183829.5</v>
      </c>
      <c r="AN308" s="65">
        <v>5000</v>
      </c>
      <c r="AO308" s="66">
        <v>10697.09</v>
      </c>
      <c r="AP308" s="128">
        <f>+N308-'Приложение №2'!E317</f>
        <v>0</v>
      </c>
      <c r="AQ308" s="23">
        <f>1641525.43-945519.75</f>
        <v>696005.67999999993</v>
      </c>
      <c r="AR308" s="25">
        <f t="shared" si="149"/>
        <v>351512.39999999997</v>
      </c>
      <c r="AS308" s="25">
        <f>+(K308*10+L308*20)*12*30-886414.55</f>
        <v>11519905.449999999</v>
      </c>
      <c r="AT308" s="127">
        <f t="shared" si="131"/>
        <v>-11205954.51</v>
      </c>
      <c r="AU308" s="127">
        <f>+P308-'[6]Приложение №1'!$P286</f>
        <v>-1511702.0514524882</v>
      </c>
      <c r="AV308" s="127">
        <f>+Q308-'[6]Приложение №1'!$Q31</f>
        <v>0</v>
      </c>
      <c r="AW308" s="63">
        <f t="shared" si="132"/>
        <v>1361469.02</v>
      </c>
      <c r="AX308" s="64">
        <v>0</v>
      </c>
      <c r="AY308" s="64">
        <v>0</v>
      </c>
      <c r="AZ308" s="64">
        <v>0</v>
      </c>
      <c r="BA308" s="64">
        <v>0</v>
      </c>
      <c r="BB308" s="64">
        <v>1350771.93</v>
      </c>
      <c r="BC308" s="64"/>
      <c r="BD308" s="64"/>
      <c r="BE308" s="64">
        <v>0</v>
      </c>
      <c r="BF308" s="64">
        <v>0</v>
      </c>
      <c r="BG308" s="64">
        <v>0</v>
      </c>
      <c r="BH308" s="64">
        <v>0</v>
      </c>
      <c r="BI308" s="64">
        <v>0</v>
      </c>
      <c r="BJ308" s="64"/>
      <c r="BK308" s="65"/>
      <c r="BL308" s="66">
        <v>10697.09</v>
      </c>
    </row>
    <row r="309" spans="1:64" x14ac:dyDescent="0.25">
      <c r="A309" s="141">
        <f t="shared" si="129"/>
        <v>291</v>
      </c>
      <c r="B309" s="142">
        <f t="shared" si="130"/>
        <v>103</v>
      </c>
      <c r="C309" s="62" t="s">
        <v>52</v>
      </c>
      <c r="D309" s="62" t="s">
        <v>1084</v>
      </c>
      <c r="E309" s="123">
        <v>1994</v>
      </c>
      <c r="F309" s="123">
        <v>2013</v>
      </c>
      <c r="G309" s="123" t="s">
        <v>43</v>
      </c>
      <c r="H309" s="123">
        <v>9</v>
      </c>
      <c r="I309" s="123">
        <v>3</v>
      </c>
      <c r="J309" s="64">
        <v>8919.33</v>
      </c>
      <c r="K309" s="64">
        <v>6658.4</v>
      </c>
      <c r="L309" s="64">
        <v>0</v>
      </c>
      <c r="M309" s="124">
        <v>285</v>
      </c>
      <c r="N309" s="63">
        <f t="shared" ref="N309" si="151">SUM(O309:T309)</f>
        <v>16249506.894575898</v>
      </c>
      <c r="O309" s="64"/>
      <c r="P309" s="65"/>
      <c r="Q309" s="65"/>
      <c r="R309" s="65">
        <f t="shared" si="147"/>
        <v>3570825.2460000003</v>
      </c>
      <c r="S309" s="65">
        <f>+'Приложение №2'!E318-'Приложение №1'!R309</f>
        <v>12678681.648575898</v>
      </c>
      <c r="T309" s="65">
        <v>4.6566128730773926E-10</v>
      </c>
      <c r="U309" s="65">
        <f t="shared" ref="U309" si="152">N309/K309</f>
        <v>2440.4521949080709</v>
      </c>
      <c r="V309" s="65">
        <v>1294.2830200640001</v>
      </c>
      <c r="W309" s="126">
        <v>2023</v>
      </c>
      <c r="X309" s="127" t="e">
        <f>+#REF!-'[1]Приложение №1'!$P786</f>
        <v>#REF!</v>
      </c>
      <c r="Z309" s="63">
        <f t="shared" si="150"/>
        <v>14135263.039999999</v>
      </c>
      <c r="AA309" s="64">
        <v>0</v>
      </c>
      <c r="AB309" s="64">
        <v>0</v>
      </c>
      <c r="AC309" s="64">
        <v>0</v>
      </c>
      <c r="AD309" s="64">
        <v>0</v>
      </c>
      <c r="AE309" s="64">
        <v>0</v>
      </c>
      <c r="AF309" s="64"/>
      <c r="AG309" s="64">
        <v>0</v>
      </c>
      <c r="AH309" s="64">
        <v>0</v>
      </c>
      <c r="AI309" s="64">
        <v>0</v>
      </c>
      <c r="AJ309" s="64">
        <v>0</v>
      </c>
      <c r="AK309" s="64">
        <v>0</v>
      </c>
      <c r="AL309" s="64">
        <v>13564306.146929998</v>
      </c>
      <c r="AM309" s="64">
        <v>193212.03</v>
      </c>
      <c r="AN309" s="64">
        <v>81120.959999999992</v>
      </c>
      <c r="AO309" s="66">
        <v>296623.90307</v>
      </c>
      <c r="AP309" s="128">
        <f>+N309-'Приложение №2'!E318</f>
        <v>0</v>
      </c>
      <c r="AQ309" s="23">
        <f>5247070.49-1910372.27-713296.71</f>
        <v>2623401.5100000002</v>
      </c>
      <c r="AR309" s="25">
        <f t="shared" ref="AR309" si="153">+(K309*13.95+L309*23.65)*12*0.85</f>
        <v>947423.73599999992</v>
      </c>
      <c r="AS309" s="25">
        <f>+(K309*13.95+L309*23.65)*12*30-3114194.79-7865381.35-93203.45</f>
        <v>22365705.209999997</v>
      </c>
      <c r="AT309" s="127">
        <f t="shared" si="131"/>
        <v>-9687023.5614240989</v>
      </c>
      <c r="AU309" s="127">
        <f>+P309-'[6]Приложение №1'!$P302</f>
        <v>0</v>
      </c>
      <c r="AV309" s="127">
        <f>+Q309-'[6]Приложение №1'!$Q302</f>
        <v>0</v>
      </c>
      <c r="AW309" s="88">
        <f t="shared" si="132"/>
        <v>16249506.894575898</v>
      </c>
      <c r="AX309" s="64">
        <v>0</v>
      </c>
      <c r="AY309" s="64">
        <v>0</v>
      </c>
      <c r="AZ309" s="64">
        <v>0</v>
      </c>
      <c r="BA309" s="64">
        <v>0</v>
      </c>
      <c r="BB309" s="64"/>
      <c r="BC309" s="64"/>
      <c r="BD309" s="64"/>
      <c r="BE309" s="64">
        <v>0</v>
      </c>
      <c r="BF309" s="64">
        <v>0</v>
      </c>
      <c r="BG309" s="64">
        <v>0</v>
      </c>
      <c r="BH309" s="64">
        <v>0</v>
      </c>
      <c r="BI309" s="64">
        <v>13564306.146929998</v>
      </c>
      <c r="BJ309" s="64">
        <v>2208962.0269999998</v>
      </c>
      <c r="BK309" s="64">
        <v>167867.1545</v>
      </c>
      <c r="BL309" s="66">
        <v>308371.56614590005</v>
      </c>
    </row>
    <row r="310" spans="1:64" x14ac:dyDescent="0.25">
      <c r="A310" s="141">
        <f t="shared" si="129"/>
        <v>292</v>
      </c>
      <c r="B310" s="142">
        <f t="shared" si="130"/>
        <v>104</v>
      </c>
      <c r="C310" s="62" t="s">
        <v>52</v>
      </c>
      <c r="D310" s="62" t="s">
        <v>718</v>
      </c>
      <c r="E310" s="123">
        <v>1988</v>
      </c>
      <c r="F310" s="123">
        <v>2013</v>
      </c>
      <c r="G310" s="123" t="s">
        <v>43</v>
      </c>
      <c r="H310" s="123">
        <v>5</v>
      </c>
      <c r="I310" s="123">
        <v>4</v>
      </c>
      <c r="J310" s="64">
        <v>4850.3</v>
      </c>
      <c r="K310" s="64">
        <v>4289.6000000000004</v>
      </c>
      <c r="L310" s="64">
        <v>0</v>
      </c>
      <c r="M310" s="124">
        <v>199</v>
      </c>
      <c r="N310" s="95">
        <f t="shared" si="126"/>
        <v>4002892.3932919996</v>
      </c>
      <c r="O310" s="64"/>
      <c r="P310" s="65"/>
      <c r="Q310" s="65"/>
      <c r="R310" s="65">
        <f t="shared" si="147"/>
        <v>2458437.62</v>
      </c>
      <c r="S310" s="65">
        <f>+'Приложение №2'!E319-'Приложение №1'!R310</f>
        <v>1544454.7732919995</v>
      </c>
      <c r="T310" s="64">
        <f>+'Приложение №2'!E319-'Приложение №1'!P310-'Приложение №1'!Q310-'Приложение №1'!R310-'Приложение №1'!S310</f>
        <v>0</v>
      </c>
      <c r="U310" s="65">
        <f t="shared" si="148"/>
        <v>933.16215807814228</v>
      </c>
      <c r="V310" s="65">
        <f t="shared" si="148"/>
        <v>933.16215807814228</v>
      </c>
      <c r="W310" s="126">
        <v>2023</v>
      </c>
      <c r="X310" s="127" t="e">
        <f>+#REF!-'[1]Приложение №1'!$P1262</f>
        <v>#REF!</v>
      </c>
      <c r="Z310" s="63">
        <f t="shared" si="150"/>
        <v>14475624.07</v>
      </c>
      <c r="AA310" s="64">
        <v>0</v>
      </c>
      <c r="AB310" s="64">
        <v>0</v>
      </c>
      <c r="AC310" s="64">
        <v>0</v>
      </c>
      <c r="AD310" s="64">
        <v>0</v>
      </c>
      <c r="AE310" s="64">
        <v>0</v>
      </c>
      <c r="AF310" s="64"/>
      <c r="AG310" s="64">
        <v>0</v>
      </c>
      <c r="AH310" s="64">
        <v>0</v>
      </c>
      <c r="AI310" s="64">
        <v>13731245.256708002</v>
      </c>
      <c r="AJ310" s="64">
        <v>0</v>
      </c>
      <c r="AK310" s="64">
        <v>0</v>
      </c>
      <c r="AL310" s="64">
        <v>0</v>
      </c>
      <c r="AM310" s="64">
        <v>414638.11</v>
      </c>
      <c r="AN310" s="64">
        <v>29466.18</v>
      </c>
      <c r="AO310" s="66">
        <v>300274.52329200006</v>
      </c>
      <c r="AP310" s="128">
        <f>+N310-'Приложение №2'!E319</f>
        <v>0</v>
      </c>
      <c r="AQ310" s="23">
        <v>2020898.42</v>
      </c>
      <c r="AR310" s="25">
        <f t="shared" si="149"/>
        <v>437539.2</v>
      </c>
      <c r="AS310" s="25">
        <f>+(K310*10+L310*20)*12*30</f>
        <v>15442560</v>
      </c>
      <c r="AT310" s="127">
        <f t="shared" si="131"/>
        <v>-13898105.226708001</v>
      </c>
      <c r="AU310" s="127">
        <f>+P310-'[6]Приложение №1'!$P287</f>
        <v>-3751428.4528287994</v>
      </c>
      <c r="AV310" s="127">
        <f>+Q310-'[6]Приложение №1'!$Q32</f>
        <v>0</v>
      </c>
      <c r="AW310" s="63">
        <f t="shared" si="132"/>
        <v>4002892.3932919996</v>
      </c>
      <c r="AX310" s="62">
        <v>0</v>
      </c>
      <c r="AY310" s="62">
        <v>0</v>
      </c>
      <c r="AZ310" s="62">
        <v>0</v>
      </c>
      <c r="BA310" s="62">
        <v>0</v>
      </c>
      <c r="BB310" s="62">
        <v>0</v>
      </c>
      <c r="BC310" s="62"/>
      <c r="BD310" s="62"/>
      <c r="BE310" s="62">
        <v>0</v>
      </c>
      <c r="BF310" s="62">
        <v>3263979.76</v>
      </c>
      <c r="BG310" s="62">
        <v>0</v>
      </c>
      <c r="BH310" s="62">
        <v>0</v>
      </c>
      <c r="BI310" s="62">
        <v>0</v>
      </c>
      <c r="BJ310" s="64">
        <v>414638.11</v>
      </c>
      <c r="BK310" s="62">
        <v>24000</v>
      </c>
      <c r="BL310" s="93">
        <v>300274.52329200006</v>
      </c>
    </row>
    <row r="311" spans="1:64" x14ac:dyDescent="0.25">
      <c r="A311" s="141">
        <f t="shared" si="129"/>
        <v>293</v>
      </c>
      <c r="B311" s="142">
        <f t="shared" si="130"/>
        <v>105</v>
      </c>
      <c r="C311" s="62" t="s">
        <v>52</v>
      </c>
      <c r="D311" s="62" t="s">
        <v>719</v>
      </c>
      <c r="E311" s="123">
        <v>1974</v>
      </c>
      <c r="F311" s="123">
        <v>2013</v>
      </c>
      <c r="G311" s="123" t="s">
        <v>43</v>
      </c>
      <c r="H311" s="123">
        <v>4</v>
      </c>
      <c r="I311" s="123">
        <v>8</v>
      </c>
      <c r="J311" s="64">
        <v>5449.8</v>
      </c>
      <c r="K311" s="64">
        <v>4938.7</v>
      </c>
      <c r="L311" s="64">
        <v>0</v>
      </c>
      <c r="M311" s="124">
        <v>207</v>
      </c>
      <c r="N311" s="95">
        <f t="shared" si="126"/>
        <v>102691975.73966673</v>
      </c>
      <c r="O311" s="64"/>
      <c r="P311" s="65">
        <v>7671345.29</v>
      </c>
      <c r="Q311" s="65"/>
      <c r="R311" s="65">
        <f t="shared" si="147"/>
        <v>2814358.13</v>
      </c>
      <c r="S311" s="65">
        <f>+AS311</f>
        <v>17779320</v>
      </c>
      <c r="T311" s="65">
        <f>+'Приложение №2'!E320-'Приложение №1'!P311-'Приложение №1'!R311-'Приложение №1'!S311</f>
        <v>74426952.319666728</v>
      </c>
      <c r="U311" s="64">
        <f t="shared" si="148"/>
        <v>20793.321266662631</v>
      </c>
      <c r="V311" s="64">
        <f t="shared" si="148"/>
        <v>20793.321266662631</v>
      </c>
      <c r="W311" s="126">
        <v>2023</v>
      </c>
      <c r="X311" s="127" t="e">
        <f>+#REF!-'[1]Приложение №1'!$P1064</f>
        <v>#REF!</v>
      </c>
      <c r="Z311" s="63">
        <f t="shared" si="150"/>
        <v>29390081.470000003</v>
      </c>
      <c r="AA311" s="64">
        <v>11814199.4679345</v>
      </c>
      <c r="AB311" s="64">
        <v>4209884.9643870592</v>
      </c>
      <c r="AC311" s="64">
        <v>4398393.0636496209</v>
      </c>
      <c r="AD311" s="64">
        <v>2753672.1595983598</v>
      </c>
      <c r="AE311" s="64">
        <v>1684797.1438548602</v>
      </c>
      <c r="AF311" s="64"/>
      <c r="AG311" s="64">
        <v>453343.1808108</v>
      </c>
      <c r="AH311" s="64">
        <v>0</v>
      </c>
      <c r="AI311" s="64">
        <v>0</v>
      </c>
      <c r="AJ311" s="64">
        <v>0</v>
      </c>
      <c r="AK311" s="64">
        <v>0</v>
      </c>
      <c r="AL311" s="64">
        <v>0</v>
      </c>
      <c r="AM311" s="64">
        <v>3228318.4233000004</v>
      </c>
      <c r="AN311" s="65">
        <v>293900.81470000005</v>
      </c>
      <c r="AO311" s="66">
        <v>553572.25176480005</v>
      </c>
      <c r="AP311" s="128">
        <f>+N311-'Приложение №2'!E320</f>
        <v>0</v>
      </c>
      <c r="AQ311" s="23">
        <v>2310610.73</v>
      </c>
      <c r="AR311" s="25">
        <f t="shared" si="149"/>
        <v>503747.39999999997</v>
      </c>
      <c r="AS311" s="25">
        <f>+(K311*10+L311*20)*12*30</f>
        <v>17779320</v>
      </c>
      <c r="AT311" s="127">
        <f t="shared" si="131"/>
        <v>0</v>
      </c>
      <c r="AU311" s="127">
        <f>+P311-'[6]Приложение №1'!$P288</f>
        <v>-7340294.6000000006</v>
      </c>
      <c r="AV311" s="127">
        <f>+Q311-'[6]Приложение №1'!$Q33</f>
        <v>0</v>
      </c>
      <c r="AW311" s="63">
        <f t="shared" si="132"/>
        <v>76930682.445486784</v>
      </c>
      <c r="AX311" s="64">
        <v>12940969.379562</v>
      </c>
      <c r="AY311" s="64">
        <v>4683661.9785479996</v>
      </c>
      <c r="AZ311" s="64">
        <v>2990319.15</v>
      </c>
      <c r="BA311" s="64">
        <v>3967819.86</v>
      </c>
      <c r="BB311" s="64"/>
      <c r="BC311" s="64"/>
      <c r="BD311" s="64">
        <v>453343.1808108</v>
      </c>
      <c r="BE311" s="64">
        <v>0</v>
      </c>
      <c r="BF311" s="64">
        <v>23720691.238029338</v>
      </c>
      <c r="BG311" s="64">
        <v>0</v>
      </c>
      <c r="BH311" s="64">
        <v>12262218.115820052</v>
      </c>
      <c r="BI311" s="64">
        <v>13351798.375892486</v>
      </c>
      <c r="BJ311" s="64">
        <v>872137.55</v>
      </c>
      <c r="BK311" s="65"/>
      <c r="BL311" s="66">
        <v>1687723.6168241003</v>
      </c>
    </row>
    <row r="312" spans="1:64" x14ac:dyDescent="0.25">
      <c r="A312" s="141">
        <f t="shared" si="129"/>
        <v>294</v>
      </c>
      <c r="B312" s="142">
        <f t="shared" si="130"/>
        <v>106</v>
      </c>
      <c r="C312" s="62" t="s">
        <v>52</v>
      </c>
      <c r="D312" s="62" t="s">
        <v>1085</v>
      </c>
      <c r="E312" s="123">
        <v>1983</v>
      </c>
      <c r="F312" s="123">
        <v>2013</v>
      </c>
      <c r="G312" s="123" t="s">
        <v>43</v>
      </c>
      <c r="H312" s="123">
        <v>4</v>
      </c>
      <c r="I312" s="123">
        <v>6</v>
      </c>
      <c r="J312" s="64">
        <v>5775.05</v>
      </c>
      <c r="K312" s="64">
        <v>5052.8500000000004</v>
      </c>
      <c r="L312" s="64">
        <v>0</v>
      </c>
      <c r="M312" s="124">
        <v>216</v>
      </c>
      <c r="N312" s="95">
        <f t="shared" si="126"/>
        <v>16236012.829954</v>
      </c>
      <c r="O312" s="64"/>
      <c r="P312" s="65"/>
      <c r="Q312" s="65"/>
      <c r="R312" s="65">
        <f t="shared" si="147"/>
        <v>2840159.93</v>
      </c>
      <c r="S312" s="65">
        <f>+'Приложение №2'!E321-'Приложение №1'!R312</f>
        <v>13395852.899954</v>
      </c>
      <c r="T312" s="65">
        <v>0</v>
      </c>
      <c r="U312" s="64">
        <f t="shared" si="148"/>
        <v>3213.2386336332956</v>
      </c>
      <c r="V312" s="64">
        <f t="shared" si="148"/>
        <v>3213.2386336332956</v>
      </c>
      <c r="W312" s="126">
        <v>2023</v>
      </c>
      <c r="X312" s="127" t="e">
        <f>+#REF!-'[1]Приложение №1'!$P1068</f>
        <v>#REF!</v>
      </c>
      <c r="Z312" s="63">
        <f t="shared" si="150"/>
        <v>28377467.889999997</v>
      </c>
      <c r="AA312" s="64">
        <v>8419761.85982568</v>
      </c>
      <c r="AB312" s="64">
        <v>4869378.4663003199</v>
      </c>
      <c r="AC312" s="64">
        <v>5147293.5732838195</v>
      </c>
      <c r="AD312" s="64">
        <v>3924855.112857</v>
      </c>
      <c r="AE312" s="64">
        <v>1567899.2698021799</v>
      </c>
      <c r="AF312" s="64"/>
      <c r="AG312" s="64">
        <v>418375.75401383999</v>
      </c>
      <c r="AH312" s="64">
        <v>0</v>
      </c>
      <c r="AI312" s="64">
        <v>0</v>
      </c>
      <c r="AJ312" s="64">
        <v>0</v>
      </c>
      <c r="AK312" s="64">
        <v>0</v>
      </c>
      <c r="AL312" s="64">
        <v>0</v>
      </c>
      <c r="AM312" s="64">
        <v>3213697.2617000001</v>
      </c>
      <c r="AN312" s="65">
        <v>283774.6789</v>
      </c>
      <c r="AO312" s="66">
        <v>532431.91331715998</v>
      </c>
      <c r="AP312" s="128">
        <f>+N312-'Приложение №2'!E321</f>
        <v>0</v>
      </c>
      <c r="AQ312" s="23">
        <f>2439039.01-114269.78</f>
        <v>2324769.23</v>
      </c>
      <c r="AR312" s="25">
        <f t="shared" si="149"/>
        <v>515390.7</v>
      </c>
      <c r="AS312" s="25">
        <f>+(K312*10+L312*20)*12*30</f>
        <v>18190260</v>
      </c>
      <c r="AT312" s="127">
        <f t="shared" si="131"/>
        <v>-4794407.1000459995</v>
      </c>
      <c r="AU312" s="127">
        <f>+P312-'[6]Приложение №1'!$P289</f>
        <v>94317.518110000063</v>
      </c>
      <c r="AV312" s="127">
        <f>+Q312-'[6]Приложение №1'!$Q34</f>
        <v>0</v>
      </c>
      <c r="AW312" s="63">
        <f t="shared" si="132"/>
        <v>16236012.829954</v>
      </c>
      <c r="AX312" s="64">
        <v>9211045.8918660004</v>
      </c>
      <c r="AY312" s="64"/>
      <c r="AZ312" s="64">
        <v>3408090.02</v>
      </c>
      <c r="BA312" s="64">
        <v>2646922.3199999998</v>
      </c>
      <c r="BB312" s="64"/>
      <c r="BC312" s="64"/>
      <c r="BD312" s="64">
        <v>418375.75401383999</v>
      </c>
      <c r="BE312" s="64">
        <v>0</v>
      </c>
      <c r="BF312" s="64">
        <v>0</v>
      </c>
      <c r="BG312" s="64">
        <v>0</v>
      </c>
      <c r="BH312" s="64">
        <v>0</v>
      </c>
      <c r="BI312" s="64">
        <v>0</v>
      </c>
      <c r="BJ312" s="64">
        <v>93758.837799999994</v>
      </c>
      <c r="BK312" s="65">
        <v>22362.497800000001</v>
      </c>
      <c r="BL312" s="66">
        <v>435457.50847415999</v>
      </c>
    </row>
    <row r="313" spans="1:64" x14ac:dyDescent="0.25">
      <c r="A313" s="141">
        <f t="shared" si="129"/>
        <v>295</v>
      </c>
      <c r="B313" s="142">
        <f t="shared" si="130"/>
        <v>107</v>
      </c>
      <c r="C313" s="62" t="s">
        <v>52</v>
      </c>
      <c r="D313" s="62" t="s">
        <v>1086</v>
      </c>
      <c r="E313" s="123">
        <v>1976</v>
      </c>
      <c r="F313" s="123">
        <v>2013</v>
      </c>
      <c r="G313" s="123" t="s">
        <v>43</v>
      </c>
      <c r="H313" s="123">
        <v>5</v>
      </c>
      <c r="I313" s="123">
        <v>4</v>
      </c>
      <c r="J313" s="64">
        <v>3698.5</v>
      </c>
      <c r="K313" s="64">
        <v>3331.4</v>
      </c>
      <c r="L313" s="64">
        <v>142.19999999999999</v>
      </c>
      <c r="M313" s="124">
        <v>143</v>
      </c>
      <c r="N313" s="95">
        <f t="shared" si="126"/>
        <v>1394293.8779577501</v>
      </c>
      <c r="O313" s="64"/>
      <c r="P313" s="65">
        <v>175745.28000000003</v>
      </c>
      <c r="Q313" s="65"/>
      <c r="R313" s="65">
        <v>92497.51</v>
      </c>
      <c r="S313" s="65">
        <f>656732.34+49698.28</f>
        <v>706430.62</v>
      </c>
      <c r="T313" s="65">
        <f>+'Приложение №2'!E322-'Приложение №1'!P313-'Приложение №1'!R313-'Приложение №1'!S313</f>
        <v>419620.46795775008</v>
      </c>
      <c r="U313" s="64">
        <f t="shared" si="148"/>
        <v>401.39736237844028</v>
      </c>
      <c r="V313" s="64">
        <f t="shared" si="148"/>
        <v>401.39736237844028</v>
      </c>
      <c r="W313" s="126">
        <v>2023</v>
      </c>
      <c r="X313" s="127" t="e">
        <f>+#REF!-'[1]Приложение №1'!$P677</f>
        <v>#REF!</v>
      </c>
      <c r="Z313" s="63">
        <f t="shared" si="150"/>
        <v>31334841.419999994</v>
      </c>
      <c r="AA313" s="64">
        <v>8119979.0609737793</v>
      </c>
      <c r="AB313" s="64">
        <v>2893482.3597838203</v>
      </c>
      <c r="AC313" s="64">
        <v>0</v>
      </c>
      <c r="AD313" s="64">
        <v>0</v>
      </c>
      <c r="AE313" s="64">
        <v>1157972.4533361599</v>
      </c>
      <c r="AF313" s="64"/>
      <c r="AG313" s="64">
        <v>311585.82840084005</v>
      </c>
      <c r="AH313" s="64">
        <v>0</v>
      </c>
      <c r="AI313" s="64">
        <v>14844557.210124599</v>
      </c>
      <c r="AJ313" s="64">
        <v>0</v>
      </c>
      <c r="AK313" s="64">
        <v>0</v>
      </c>
      <c r="AL313" s="64">
        <v>0</v>
      </c>
      <c r="AM313" s="64">
        <v>3096317.3338000001</v>
      </c>
      <c r="AN313" s="65">
        <v>313348.4142</v>
      </c>
      <c r="AO313" s="66">
        <v>597598.75938079995</v>
      </c>
      <c r="AP313" s="128">
        <f>+N313-'Приложение №2'!E322</f>
        <v>0</v>
      </c>
      <c r="AQ313" s="23">
        <f>1714139.94-279174.44-139587.22</f>
        <v>1295378.28</v>
      </c>
      <c r="AR313" s="25">
        <f t="shared" si="149"/>
        <v>368811.6</v>
      </c>
      <c r="AS313" s="25">
        <f>+(K313*10+L313*20)*12*30-1573640.06</f>
        <v>11443239.939999999</v>
      </c>
      <c r="AT313" s="127">
        <f t="shared" si="131"/>
        <v>-10736809.32</v>
      </c>
      <c r="AU313" s="127">
        <f>+P313-'[6]Приложение №1'!$P290</f>
        <v>-1832362.8822212787</v>
      </c>
      <c r="AV313" s="127">
        <f>+Q313-'[6]Приложение №1'!$Q35</f>
        <v>0</v>
      </c>
      <c r="AW313" s="63">
        <f t="shared" si="132"/>
        <v>1394293.8779577501</v>
      </c>
      <c r="AX313" s="64"/>
      <c r="AY313" s="64"/>
      <c r="AZ313" s="64">
        <v>0</v>
      </c>
      <c r="BA313" s="64">
        <v>0</v>
      </c>
      <c r="BB313" s="64">
        <v>974673.41</v>
      </c>
      <c r="BC313" s="64"/>
      <c r="BD313" s="64"/>
      <c r="BE313" s="64">
        <v>0</v>
      </c>
      <c r="BF313" s="64"/>
      <c r="BG313" s="64">
        <v>0</v>
      </c>
      <c r="BH313" s="64">
        <v>0</v>
      </c>
      <c r="BI313" s="64">
        <v>0</v>
      </c>
      <c r="BJ313" s="64"/>
      <c r="BK313" s="65"/>
      <c r="BL313" s="66">
        <v>419620.46795774996</v>
      </c>
    </row>
    <row r="314" spans="1:64" x14ac:dyDescent="0.25">
      <c r="A314" s="141">
        <f t="shared" si="129"/>
        <v>296</v>
      </c>
      <c r="B314" s="142">
        <f t="shared" si="130"/>
        <v>108</v>
      </c>
      <c r="C314" s="62" t="s">
        <v>52</v>
      </c>
      <c r="D314" s="62" t="s">
        <v>1032</v>
      </c>
      <c r="E314" s="123">
        <v>1976</v>
      </c>
      <c r="F314" s="123">
        <v>2013</v>
      </c>
      <c r="G314" s="123" t="s">
        <v>43</v>
      </c>
      <c r="H314" s="123">
        <v>4</v>
      </c>
      <c r="I314" s="123">
        <v>6</v>
      </c>
      <c r="J314" s="64">
        <v>5761.37</v>
      </c>
      <c r="K314" s="64">
        <v>4953.17</v>
      </c>
      <c r="L314" s="64">
        <v>0</v>
      </c>
      <c r="M314" s="124">
        <v>208</v>
      </c>
      <c r="N314" s="95">
        <f t="shared" si="126"/>
        <v>16379129.249619205</v>
      </c>
      <c r="O314" s="64"/>
      <c r="P314" s="65"/>
      <c r="Q314" s="65"/>
      <c r="R314" s="65">
        <f>+AQ314+AR314</f>
        <v>3001913.7399999998</v>
      </c>
      <c r="S314" s="65">
        <f>+'Приложение №2'!E323-'Приложение №1'!R314</f>
        <v>13377215.509619204</v>
      </c>
      <c r="T314" s="64">
        <f>+'Приложение №2'!E323-'Приложение №1'!P314-'Приложение №1'!Q314-'Приложение №1'!R314-'Приложение №1'!S314</f>
        <v>0</v>
      </c>
      <c r="U314" s="64">
        <f t="shared" si="148"/>
        <v>3306.7973135626689</v>
      </c>
      <c r="V314" s="64">
        <f t="shared" si="148"/>
        <v>3306.7973135626689</v>
      </c>
      <c r="W314" s="126">
        <v>2023</v>
      </c>
      <c r="X314" s="127" t="e">
        <f>+#REF!-'[1]Приложение №1'!$P1070</f>
        <v>#REF!</v>
      </c>
      <c r="Z314" s="63">
        <f t="shared" si="150"/>
        <v>18855188.25</v>
      </c>
      <c r="AA314" s="64">
        <v>0</v>
      </c>
      <c r="AB314" s="64">
        <v>4852018.6895581791</v>
      </c>
      <c r="AC314" s="64">
        <v>5128943.0079808198</v>
      </c>
      <c r="AD314" s="64">
        <v>3910862.6451854394</v>
      </c>
      <c r="AE314" s="64">
        <v>1562309.5679603999</v>
      </c>
      <c r="AF314" s="64"/>
      <c r="AG314" s="64">
        <v>416884.20653627999</v>
      </c>
      <c r="AH314" s="64">
        <v>0</v>
      </c>
      <c r="AI314" s="64">
        <v>0</v>
      </c>
      <c r="AJ314" s="64">
        <v>0</v>
      </c>
      <c r="AK314" s="64">
        <v>0</v>
      </c>
      <c r="AL314" s="64">
        <v>0</v>
      </c>
      <c r="AM314" s="64">
        <v>2448551.2283000001</v>
      </c>
      <c r="AN314" s="65">
        <v>188551.88250000004</v>
      </c>
      <c r="AO314" s="66">
        <v>347067.0219788801</v>
      </c>
      <c r="AP314" s="128">
        <f>+N314-'Приложение №2'!E323</f>
        <v>0</v>
      </c>
      <c r="AQ314" s="23">
        <f>2496690.4</f>
        <v>2496690.4</v>
      </c>
      <c r="AR314" s="25">
        <f t="shared" si="149"/>
        <v>505223.33999999991</v>
      </c>
      <c r="AS314" s="25">
        <f>+(K314*10+L314*20)*12*30</f>
        <v>17831411.999999996</v>
      </c>
      <c r="AT314" s="127">
        <f t="shared" si="131"/>
        <v>-4454196.4903807919</v>
      </c>
      <c r="AU314" s="127">
        <f>+P314-'[6]Приложение №1'!$P292</f>
        <v>-2076617.8699999992</v>
      </c>
      <c r="AV314" s="127">
        <f>+Q314-'[6]Приложение №1'!$Q37</f>
        <v>0</v>
      </c>
      <c r="AW314" s="63">
        <f t="shared" si="132"/>
        <v>16379129.249619205</v>
      </c>
      <c r="AX314" s="64">
        <v>0</v>
      </c>
      <c r="AY314" s="64"/>
      <c r="AZ314" s="64"/>
      <c r="BA314" s="64">
        <v>4510734.7664399995</v>
      </c>
      <c r="BB314" s="64"/>
      <c r="BC314" s="64"/>
      <c r="BD314" s="64"/>
      <c r="BE314" s="64">
        <v>0</v>
      </c>
      <c r="BF314" s="64">
        <v>0</v>
      </c>
      <c r="BG314" s="64">
        <v>0</v>
      </c>
      <c r="BH314" s="64">
        <v>0</v>
      </c>
      <c r="BI314" s="64">
        <v>11240075.836037977</v>
      </c>
      <c r="BJ314" s="64"/>
      <c r="BK314" s="65"/>
      <c r="BL314" s="66">
        <v>628318.64714122843</v>
      </c>
    </row>
    <row r="315" spans="1:64" x14ac:dyDescent="0.25">
      <c r="A315" s="141">
        <f t="shared" si="129"/>
        <v>297</v>
      </c>
      <c r="B315" s="142">
        <f t="shared" si="130"/>
        <v>109</v>
      </c>
      <c r="C315" s="62" t="s">
        <v>52</v>
      </c>
      <c r="D315" s="62" t="s">
        <v>1033</v>
      </c>
      <c r="E315" s="123">
        <v>1964</v>
      </c>
      <c r="F315" s="123">
        <v>1978</v>
      </c>
      <c r="G315" s="123" t="s">
        <v>43</v>
      </c>
      <c r="H315" s="123">
        <v>4</v>
      </c>
      <c r="I315" s="123">
        <v>4</v>
      </c>
      <c r="J315" s="64">
        <v>2691.4</v>
      </c>
      <c r="K315" s="64">
        <v>2511.6</v>
      </c>
      <c r="L315" s="64">
        <v>55</v>
      </c>
      <c r="M315" s="124">
        <v>136</v>
      </c>
      <c r="N315" s="63">
        <f t="shared" si="126"/>
        <v>1142240.9043090399</v>
      </c>
      <c r="O315" s="64"/>
      <c r="P315" s="65">
        <v>173872.46999999997</v>
      </c>
      <c r="Q315" s="65"/>
      <c r="R315" s="65">
        <f>+AQ315+AR315</f>
        <v>364376.02999999997</v>
      </c>
      <c r="S315" s="65">
        <f>+AS315</f>
        <v>521500.30569096003</v>
      </c>
      <c r="T315" s="65">
        <f>+'Приложение №2'!E324-'Приложение №1'!P315-'Приложение №1'!R315-'Приложение №1'!S315</f>
        <v>82492.098618079908</v>
      </c>
      <c r="U315" s="65">
        <f t="shared" si="148"/>
        <v>445.04048324984024</v>
      </c>
      <c r="V315" s="65">
        <f t="shared" si="148"/>
        <v>445.04048324984024</v>
      </c>
      <c r="W315" s="126">
        <v>2023</v>
      </c>
      <c r="X315" s="127" t="e">
        <f>+#REF!-'[1]Приложение №1'!$P1671</f>
        <v>#REF!</v>
      </c>
      <c r="Z315" s="63">
        <f t="shared" si="150"/>
        <v>27187931.989999998</v>
      </c>
      <c r="AA315" s="64">
        <v>5957834.6788287591</v>
      </c>
      <c r="AB315" s="64">
        <v>2123021.4274273203</v>
      </c>
      <c r="AC315" s="64">
        <v>2218085.0113825197</v>
      </c>
      <c r="AD315" s="64">
        <v>1388661.4588106403</v>
      </c>
      <c r="AE315" s="64">
        <v>849633.77513700002</v>
      </c>
      <c r="AF315" s="64"/>
      <c r="AG315" s="64">
        <v>228618.42683567997</v>
      </c>
      <c r="AH315" s="64">
        <v>0</v>
      </c>
      <c r="AI315" s="64">
        <v>10891828.3075938</v>
      </c>
      <c r="AJ315" s="64">
        <v>0</v>
      </c>
      <c r="AK315" s="64">
        <v>0</v>
      </c>
      <c r="AL315" s="64">
        <v>0</v>
      </c>
      <c r="AM315" s="64">
        <v>2741023.9698999999</v>
      </c>
      <c r="AN315" s="65">
        <v>271879.3199</v>
      </c>
      <c r="AO315" s="66">
        <v>517345.61418428004</v>
      </c>
      <c r="AP315" s="128">
        <f>+N315-'Приложение №2'!E324</f>
        <v>0</v>
      </c>
      <c r="AQ315" s="127">
        <f>1127947.91-R98</f>
        <v>96972.829999999958</v>
      </c>
      <c r="AR315" s="25">
        <f t="shared" si="149"/>
        <v>267403.2</v>
      </c>
      <c r="AS315" s="25">
        <f>+(K315*10+L315*20)*12*30-1866218.37-S98</f>
        <v>521500.30569096003</v>
      </c>
      <c r="AT315" s="127">
        <f t="shared" si="131"/>
        <v>0</v>
      </c>
      <c r="AW315" s="63">
        <f t="shared" si="132"/>
        <v>1142240.9043090399</v>
      </c>
      <c r="AX315" s="64"/>
      <c r="AY315" s="64"/>
      <c r="AZ315" s="64">
        <v>902758.42</v>
      </c>
      <c r="BA315" s="64"/>
      <c r="BB315" s="64"/>
      <c r="BC315" s="64"/>
      <c r="BD315" s="64"/>
      <c r="BE315" s="64">
        <v>0</v>
      </c>
      <c r="BF315" s="64"/>
      <c r="BG315" s="64">
        <v>0</v>
      </c>
      <c r="BH315" s="64">
        <v>0</v>
      </c>
      <c r="BI315" s="64">
        <v>0</v>
      </c>
      <c r="BJ315" s="64"/>
      <c r="BK315" s="65"/>
      <c r="BL315" s="66">
        <v>239482.48430904001</v>
      </c>
    </row>
    <row r="316" spans="1:64" x14ac:dyDescent="0.25">
      <c r="A316" s="141">
        <f t="shared" si="129"/>
        <v>298</v>
      </c>
      <c r="B316" s="142">
        <f t="shared" si="130"/>
        <v>110</v>
      </c>
      <c r="C316" s="62" t="s">
        <v>52</v>
      </c>
      <c r="D316" s="62" t="s">
        <v>1087</v>
      </c>
      <c r="E316" s="123">
        <v>1978</v>
      </c>
      <c r="F316" s="123">
        <v>2013</v>
      </c>
      <c r="G316" s="123" t="s">
        <v>43</v>
      </c>
      <c r="H316" s="123">
        <v>4</v>
      </c>
      <c r="I316" s="123">
        <v>4</v>
      </c>
      <c r="J316" s="64">
        <v>2848.5</v>
      </c>
      <c r="K316" s="64">
        <v>2649.95</v>
      </c>
      <c r="L316" s="64">
        <v>0</v>
      </c>
      <c r="M316" s="124">
        <v>145</v>
      </c>
      <c r="N316" s="63">
        <f>SUM(O316:T316)</f>
        <v>2757402.0645933794</v>
      </c>
      <c r="O316" s="64"/>
      <c r="P316" s="65"/>
      <c r="Q316" s="65"/>
      <c r="R316" s="65">
        <v>1479357.3299999998</v>
      </c>
      <c r="S316" s="65">
        <v>914499.18255726504</v>
      </c>
      <c r="T316" s="65">
        <f>+'Приложение №2'!E325-'Приложение №1'!P316-'Приложение №1'!R316-'Приложение №1'!S316</f>
        <v>363545.5520361145</v>
      </c>
      <c r="U316" s="65">
        <f>N316/K316</f>
        <v>1040.548713973237</v>
      </c>
      <c r="V316" s="65">
        <v>1300.2830200640001</v>
      </c>
      <c r="W316" s="126">
        <v>2023</v>
      </c>
      <c r="X316" s="127" t="e">
        <f>+#REF!-'[1]Приложение №1'!$P1072</f>
        <v>#REF!</v>
      </c>
      <c r="Z316" s="63">
        <f>SUM(AA316:AO316)</f>
        <v>4102628.5261912653</v>
      </c>
      <c r="AA316" s="64">
        <v>0</v>
      </c>
      <c r="AB316" s="64">
        <v>2393856.5125572649</v>
      </c>
      <c r="AC316" s="64">
        <v>0</v>
      </c>
      <c r="AD316" s="64">
        <v>0</v>
      </c>
      <c r="AE316" s="64">
        <v>1207579.472694</v>
      </c>
      <c r="AF316" s="64"/>
      <c r="AG316" s="64">
        <v>243268.38316200001</v>
      </c>
      <c r="AH316" s="64">
        <v>0</v>
      </c>
      <c r="AI316" s="64">
        <v>0</v>
      </c>
      <c r="AJ316" s="64">
        <v>0</v>
      </c>
      <c r="AK316" s="64">
        <v>0</v>
      </c>
      <c r="AL316" s="64">
        <v>0</v>
      </c>
      <c r="AM316" s="64">
        <v>129490.79000000001</v>
      </c>
      <c r="AN316" s="64">
        <v>44357.47</v>
      </c>
      <c r="AO316" s="66">
        <v>84075.897777999999</v>
      </c>
      <c r="AP316" s="128">
        <f>+N316-'Приложение №2'!E325</f>
        <v>0</v>
      </c>
      <c r="AQ316" s="38">
        <v>1527775.3</v>
      </c>
      <c r="AR316" s="25">
        <f>+(K316*10.5+L316*21)*12*0.85</f>
        <v>283809.64499999996</v>
      </c>
      <c r="AS316" s="25">
        <f>+(K316*10.5+L316*21)*12*30</f>
        <v>10016810.999999998</v>
      </c>
      <c r="AT316" s="127">
        <f>+S316-AS316</f>
        <v>-9102311.8174427338</v>
      </c>
      <c r="AU316" s="127">
        <f>+P316-'[6]Приложение №1'!$P583</f>
        <v>0</v>
      </c>
      <c r="AV316" s="127">
        <f>+Q316-'[6]Приложение №1'!$Q583</f>
        <v>0</v>
      </c>
      <c r="AW316" s="88">
        <f>SUBTOTAL(9,AX316:BL316)</f>
        <v>2757402.0645933794</v>
      </c>
      <c r="AX316" s="64">
        <v>0</v>
      </c>
      <c r="AY316" s="64">
        <v>2429379.13</v>
      </c>
      <c r="AZ316" s="64">
        <v>0</v>
      </c>
      <c r="BA316" s="64">
        <v>0</v>
      </c>
      <c r="BB316" s="64"/>
      <c r="BC316" s="64"/>
      <c r="BD316" s="64"/>
      <c r="BE316" s="64">
        <v>0</v>
      </c>
      <c r="BF316" s="64">
        <v>0</v>
      </c>
      <c r="BG316" s="64">
        <v>0</v>
      </c>
      <c r="BH316" s="64">
        <v>0</v>
      </c>
      <c r="BI316" s="64">
        <v>0</v>
      </c>
      <c r="BJ316" s="64">
        <v>254190.70299999998</v>
      </c>
      <c r="BK316" s="64">
        <f>25419.0703</f>
        <v>25419.070299999999</v>
      </c>
      <c r="BL316" s="66">
        <v>48413.161293379999</v>
      </c>
    </row>
    <row r="317" spans="1:64" x14ac:dyDescent="0.25">
      <c r="A317" s="141">
        <f t="shared" si="129"/>
        <v>299</v>
      </c>
      <c r="B317" s="142">
        <f t="shared" si="130"/>
        <v>111</v>
      </c>
      <c r="C317" s="62" t="s">
        <v>52</v>
      </c>
      <c r="D317" s="62" t="s">
        <v>1034</v>
      </c>
      <c r="E317" s="123">
        <v>1964</v>
      </c>
      <c r="F317" s="123">
        <v>2013</v>
      </c>
      <c r="G317" s="123" t="s">
        <v>43</v>
      </c>
      <c r="H317" s="123">
        <v>4</v>
      </c>
      <c r="I317" s="123">
        <v>2</v>
      </c>
      <c r="J317" s="64">
        <v>1348</v>
      </c>
      <c r="K317" s="64">
        <v>1248.9000000000001</v>
      </c>
      <c r="L317" s="64">
        <v>0</v>
      </c>
      <c r="M317" s="124">
        <v>74</v>
      </c>
      <c r="N317" s="95">
        <f t="shared" si="126"/>
        <v>1447716.48246928</v>
      </c>
      <c r="O317" s="64"/>
      <c r="P317" s="65">
        <f>+'Приложение №2'!E326-'Приложение №1'!R317</f>
        <v>860590.1024692799</v>
      </c>
      <c r="Q317" s="65"/>
      <c r="R317" s="65">
        <f>+AQ317+AR317-86410.73</f>
        <v>587126.38000000012</v>
      </c>
      <c r="S317" s="65">
        <f>+'Приложение №2'!E326-'Приложение №1'!P317-'Приложение №1'!Q317-'Приложение №1'!R317</f>
        <v>0</v>
      </c>
      <c r="T317" s="65">
        <f>+'Приложение №2'!E326-'Приложение №1'!P317-'Приложение №1'!Q317-'Приложение №1'!R317-'Приложение №1'!S317</f>
        <v>0</v>
      </c>
      <c r="U317" s="64">
        <f t="shared" si="148"/>
        <v>1159.1932760583552</v>
      </c>
      <c r="V317" s="64">
        <f t="shared" si="148"/>
        <v>1159.1932760583552</v>
      </c>
      <c r="W317" s="126">
        <v>2023</v>
      </c>
      <c r="X317" s="127" t="e">
        <f>+#REF!-'[1]Приложение №1'!$P1638</f>
        <v>#REF!</v>
      </c>
      <c r="Z317" s="63">
        <f t="shared" si="150"/>
        <v>13604861.210000001</v>
      </c>
      <c r="AA317" s="64">
        <v>2981304.8663361603</v>
      </c>
      <c r="AB317" s="64">
        <v>1062361.4877094799</v>
      </c>
      <c r="AC317" s="64">
        <v>1109931.3752150398</v>
      </c>
      <c r="AD317" s="64">
        <v>694887.21792840003</v>
      </c>
      <c r="AE317" s="64">
        <v>425157.36756066006</v>
      </c>
      <c r="AF317" s="64"/>
      <c r="AG317" s="64">
        <v>114400.82936267999</v>
      </c>
      <c r="AH317" s="64">
        <v>0</v>
      </c>
      <c r="AI317" s="64">
        <v>5450278.9118777998</v>
      </c>
      <c r="AJ317" s="64">
        <v>0</v>
      </c>
      <c r="AK317" s="64">
        <v>0</v>
      </c>
      <c r="AL317" s="64">
        <v>0</v>
      </c>
      <c r="AM317" s="64">
        <v>1371610.4151999999</v>
      </c>
      <c r="AN317" s="65">
        <v>136048.6121</v>
      </c>
      <c r="AO317" s="66">
        <v>258880.12670978002</v>
      </c>
      <c r="AP317" s="128">
        <f>+N317-'Приложение №2'!E326</f>
        <v>0</v>
      </c>
      <c r="AQ317" s="23">
        <v>546149.31000000006</v>
      </c>
      <c r="AR317" s="25">
        <f t="shared" si="149"/>
        <v>127387.8</v>
      </c>
      <c r="AS317" s="25">
        <f>+(K317*10+L317*20)*12*30</f>
        <v>4496040</v>
      </c>
      <c r="AT317" s="127">
        <f t="shared" si="131"/>
        <v>-4496040</v>
      </c>
      <c r="AU317" s="127">
        <f>+P317-'[6]Приложение №1'!$P293</f>
        <v>0</v>
      </c>
      <c r="AV317" s="127">
        <f>+Q317-'[6]Приложение №1'!$Q293</f>
        <v>0</v>
      </c>
      <c r="AW317" s="63">
        <f t="shared" si="132"/>
        <v>1447716.48246928</v>
      </c>
      <c r="AX317" s="64"/>
      <c r="AY317" s="64">
        <v>773824.99</v>
      </c>
      <c r="AZ317" s="64"/>
      <c r="BA317" s="64">
        <v>492005.51</v>
      </c>
      <c r="BB317" s="64"/>
      <c r="BC317" s="64"/>
      <c r="BD317" s="64"/>
      <c r="BE317" s="64">
        <v>0</v>
      </c>
      <c r="BF317" s="64"/>
      <c r="BG317" s="64">
        <v>0</v>
      </c>
      <c r="BH317" s="64">
        <v>0</v>
      </c>
      <c r="BI317" s="64">
        <v>0</v>
      </c>
      <c r="BJ317" s="64"/>
      <c r="BK317" s="65"/>
      <c r="BL317" s="66">
        <v>181885.98246928002</v>
      </c>
    </row>
    <row r="318" spans="1:64" x14ac:dyDescent="0.25">
      <c r="A318" s="141">
        <f t="shared" si="129"/>
        <v>300</v>
      </c>
      <c r="B318" s="142">
        <f t="shared" si="130"/>
        <v>112</v>
      </c>
      <c r="C318" s="62" t="s">
        <v>52</v>
      </c>
      <c r="D318" s="62" t="s">
        <v>1088</v>
      </c>
      <c r="E318" s="123">
        <v>1988</v>
      </c>
      <c r="F318" s="123">
        <v>2013</v>
      </c>
      <c r="G318" s="123" t="s">
        <v>43</v>
      </c>
      <c r="H318" s="123">
        <v>3</v>
      </c>
      <c r="I318" s="123">
        <v>3</v>
      </c>
      <c r="J318" s="64">
        <v>1440</v>
      </c>
      <c r="K318" s="64">
        <v>1362.6</v>
      </c>
      <c r="L318" s="64">
        <v>0</v>
      </c>
      <c r="M318" s="124">
        <v>54</v>
      </c>
      <c r="N318" s="63">
        <f t="shared" ref="N318" si="154">SUM(O318:T318)</f>
        <v>13115247.401463766</v>
      </c>
      <c r="O318" s="64"/>
      <c r="P318" s="65">
        <v>1655907.36</v>
      </c>
      <c r="Q318" s="65"/>
      <c r="R318" s="65">
        <f>+AQ318+AR318</f>
        <v>883087.28999999992</v>
      </c>
      <c r="S318" s="65">
        <f>+AS318</f>
        <v>5150627.9999999991</v>
      </c>
      <c r="T318" s="65">
        <f>+'Приложение №2'!E327-'Приложение №1'!P318-'Приложение №1'!R318-'Приложение №1'!S318</f>
        <v>5425624.7514637681</v>
      </c>
      <c r="U318" s="65">
        <f t="shared" ref="U318" si="155">N318/K318</f>
        <v>9625.1632184527862</v>
      </c>
      <c r="V318" s="65">
        <v>1301.2830200640001</v>
      </c>
      <c r="W318" s="126">
        <v>2023</v>
      </c>
      <c r="X318" s="127" t="e">
        <f>+#REF!-'[1]Приложение №1'!$P800</f>
        <v>#REF!</v>
      </c>
      <c r="Z318" s="63">
        <f>SUM(AA318:AO318)</f>
        <v>25083426.917270374</v>
      </c>
      <c r="AA318" s="64">
        <v>4525107.225966936</v>
      </c>
      <c r="AB318" s="64">
        <v>2796445.9111580672</v>
      </c>
      <c r="AC318" s="64">
        <v>1312542.3519563093</v>
      </c>
      <c r="AD318" s="64">
        <v>1144056.1189434747</v>
      </c>
      <c r="AE318" s="64">
        <v>736445.82143999997</v>
      </c>
      <c r="AF318" s="64"/>
      <c r="AG318" s="64">
        <v>433409.41392000002</v>
      </c>
      <c r="AH318" s="64">
        <v>0</v>
      </c>
      <c r="AI318" s="64">
        <v>13331310.272431584</v>
      </c>
      <c r="AJ318" s="64">
        <v>0</v>
      </c>
      <c r="AK318" s="64">
        <v>0</v>
      </c>
      <c r="AL318" s="64">
        <v>0</v>
      </c>
      <c r="AM318" s="64">
        <v>225241.67</v>
      </c>
      <c r="AN318" s="64">
        <v>47928.639999999999</v>
      </c>
      <c r="AO318" s="66">
        <v>530939.491454</v>
      </c>
      <c r="AP318" s="128">
        <f>+N318-'Приложение №2'!E327</f>
        <v>0</v>
      </c>
      <c r="AQ318" s="38">
        <v>737152.83</v>
      </c>
      <c r="AR318" s="25">
        <f t="shared" ref="AR318" si="156">+(K318*10.5+L318*21)*12*0.85</f>
        <v>145934.45999999996</v>
      </c>
      <c r="AS318" s="25">
        <f>+(K318*10.5+L318*21)*12*30</f>
        <v>5150627.9999999991</v>
      </c>
      <c r="AT318" s="127">
        <f t="shared" si="131"/>
        <v>0</v>
      </c>
      <c r="AU318" s="127">
        <f>+P318-'[6]Приложение №1'!$P311</f>
        <v>-821930.07999999984</v>
      </c>
      <c r="AV318" s="127">
        <f>+Q318-'[6]Приложение №1'!$Q311</f>
        <v>0</v>
      </c>
      <c r="AW318" s="88">
        <f t="shared" si="132"/>
        <v>13115247.401463766</v>
      </c>
      <c r="AX318" s="64">
        <v>4525107.225966936</v>
      </c>
      <c r="AY318" s="64">
        <v>2796445.9111580672</v>
      </c>
      <c r="AZ318" s="64">
        <v>1312542.3519563093</v>
      </c>
      <c r="BA318" s="64">
        <v>1144056.1189434747</v>
      </c>
      <c r="BB318" s="64"/>
      <c r="BC318" s="64"/>
      <c r="BD318" s="64">
        <v>433409.41392000002</v>
      </c>
      <c r="BE318" s="64">
        <v>0</v>
      </c>
      <c r="BF318" s="64"/>
      <c r="BG318" s="64">
        <v>0</v>
      </c>
      <c r="BH318" s="64">
        <v>0</v>
      </c>
      <c r="BI318" s="64">
        <v>0</v>
      </c>
      <c r="BJ318" s="64">
        <v>2193617.8228000002</v>
      </c>
      <c r="BK318" s="64">
        <v>242740.96649999998</v>
      </c>
      <c r="BL318" s="66">
        <v>467327.59021898004</v>
      </c>
    </row>
    <row r="319" spans="1:64" s="74" customFormat="1" x14ac:dyDescent="0.25">
      <c r="A319" s="141">
        <f t="shared" si="129"/>
        <v>301</v>
      </c>
      <c r="B319" s="142">
        <f t="shared" si="130"/>
        <v>113</v>
      </c>
      <c r="C319" s="62" t="s">
        <v>94</v>
      </c>
      <c r="D319" s="62" t="s">
        <v>759</v>
      </c>
      <c r="E319" s="123" t="s">
        <v>128</v>
      </c>
      <c r="F319" s="123"/>
      <c r="G319" s="123" t="s">
        <v>43</v>
      </c>
      <c r="H319" s="123" t="s">
        <v>97</v>
      </c>
      <c r="I319" s="123" t="s">
        <v>105</v>
      </c>
      <c r="J319" s="64">
        <v>10278.6</v>
      </c>
      <c r="K319" s="64">
        <v>9679.9</v>
      </c>
      <c r="L319" s="64">
        <v>0</v>
      </c>
      <c r="M319" s="124">
        <v>304</v>
      </c>
      <c r="N319" s="63">
        <f>SUM(O319:T319)</f>
        <v>14412979.637864092</v>
      </c>
      <c r="O319" s="64">
        <v>0</v>
      </c>
      <c r="P319" s="65"/>
      <c r="Q319" s="65">
        <v>0</v>
      </c>
      <c r="R319" s="65">
        <f>+AQ319+AR319</f>
        <v>8804139.3109999988</v>
      </c>
      <c r="S319" s="65">
        <f>+'Приложение №2'!E328-'Приложение №1'!R319</f>
        <v>5608840.3268640935</v>
      </c>
      <c r="T319" s="65">
        <v>0</v>
      </c>
      <c r="U319" s="65">
        <f>N319/K319</f>
        <v>1488.9595592789278</v>
      </c>
      <c r="V319" s="65">
        <v>1305.2830200640001</v>
      </c>
      <c r="W319" s="126">
        <v>2023</v>
      </c>
      <c r="X319" s="74">
        <v>4555600.2300000004</v>
      </c>
      <c r="Y319" s="74">
        <f>+(K319*12.08+L319*20.47)*12</f>
        <v>1403198.304</v>
      </c>
      <c r="AA319" s="129">
        <f>+N319-'[5]Приложение № 2'!E553</f>
        <v>-22846477.170718953</v>
      </c>
      <c r="AD319" s="129">
        <f>+N319-'[5]Приложение № 2'!E553</f>
        <v>-22846477.170718953</v>
      </c>
      <c r="AP319" s="128">
        <f>+N319-'Приложение №2'!E328</f>
        <v>0</v>
      </c>
      <c r="AQ319" s="38">
        <v>7426786.3399999999</v>
      </c>
      <c r="AR319" s="25">
        <f>+(K319*13.95+L319*23.65)*12*0.85</f>
        <v>1377352.9709999997</v>
      </c>
      <c r="AS319" s="25">
        <f>+(K319*13.95+L319*23.65)*12*30</f>
        <v>48612457.799999997</v>
      </c>
      <c r="AT319" s="127">
        <f>+S319-AS319</f>
        <v>-43003617.473135903</v>
      </c>
      <c r="AU319" s="127">
        <f>+P319-'[6]Приложение №1'!$P588</f>
        <v>0</v>
      </c>
      <c r="AV319" s="127">
        <f>+Q319-'[6]Приложение №1'!$Q588</f>
        <v>0</v>
      </c>
      <c r="AW319" s="88">
        <f>SUBTOTAL(9,AX319:BL319)</f>
        <v>14412979.637864092</v>
      </c>
      <c r="AX319" s="64"/>
      <c r="AY319" s="64"/>
      <c r="AZ319" s="64"/>
      <c r="BA319" s="64"/>
      <c r="BB319" s="64"/>
      <c r="BC319" s="64"/>
      <c r="BD319" s="64"/>
      <c r="BE319" s="64">
        <v>13862649.6</v>
      </c>
      <c r="BF319" s="64"/>
      <c r="BG319" s="64"/>
      <c r="BH319" s="64"/>
      <c r="BI319" s="64"/>
      <c r="BJ319" s="64">
        <v>224221.56331912189</v>
      </c>
      <c r="BK319" s="65">
        <v>24000</v>
      </c>
      <c r="BL319" s="66">
        <v>302108.47454497078</v>
      </c>
    </row>
    <row r="320" spans="1:64" x14ac:dyDescent="0.25">
      <c r="A320" s="141">
        <f t="shared" si="129"/>
        <v>302</v>
      </c>
      <c r="B320" s="142">
        <f t="shared" si="130"/>
        <v>114</v>
      </c>
      <c r="C320" s="62" t="s">
        <v>52</v>
      </c>
      <c r="D320" s="62" t="s">
        <v>696</v>
      </c>
      <c r="E320" s="123">
        <v>1961</v>
      </c>
      <c r="F320" s="123">
        <v>2013</v>
      </c>
      <c r="G320" s="123" t="s">
        <v>43</v>
      </c>
      <c r="H320" s="123">
        <v>4</v>
      </c>
      <c r="I320" s="123">
        <v>3</v>
      </c>
      <c r="J320" s="64">
        <v>3049.5</v>
      </c>
      <c r="K320" s="64">
        <v>2277.6</v>
      </c>
      <c r="L320" s="64">
        <v>771.9</v>
      </c>
      <c r="M320" s="124">
        <v>94</v>
      </c>
      <c r="N320" s="95">
        <f t="shared" si="126"/>
        <v>1586238.6009006002</v>
      </c>
      <c r="O320" s="64"/>
      <c r="P320" s="65"/>
      <c r="Q320" s="65"/>
      <c r="R320" s="65">
        <f>+'Приложение №2'!E329</f>
        <v>1586238.6009006</v>
      </c>
      <c r="S320" s="65">
        <f>+'Приложение №2'!E329-'Приложение №1'!R320</f>
        <v>0</v>
      </c>
      <c r="T320" s="65">
        <v>1.1641532182693481E-10</v>
      </c>
      <c r="U320" s="64">
        <f t="shared" si="148"/>
        <v>520.16350250880475</v>
      </c>
      <c r="V320" s="64">
        <f t="shared" si="148"/>
        <v>520.16350250880475</v>
      </c>
      <c r="W320" s="126">
        <v>2023</v>
      </c>
      <c r="X320" s="127" t="e">
        <f>+#REF!-'[1]Приложение №1'!$P1597</f>
        <v>#REF!</v>
      </c>
      <c r="Z320" s="63">
        <f t="shared" si="150"/>
        <v>13067933.899999999</v>
      </c>
      <c r="AA320" s="64">
        <v>5253036.7368624602</v>
      </c>
      <c r="AB320" s="64">
        <v>1871872.94908698</v>
      </c>
      <c r="AC320" s="64">
        <v>1955690.7227369398</v>
      </c>
      <c r="AD320" s="64">
        <v>1224386.0518469999</v>
      </c>
      <c r="AE320" s="64">
        <v>749124.08010090003</v>
      </c>
      <c r="AF320" s="64"/>
      <c r="AG320" s="64">
        <v>201573.40567307998</v>
      </c>
      <c r="AH320" s="64">
        <v>0</v>
      </c>
      <c r="AI320" s="64">
        <v>0</v>
      </c>
      <c r="AJ320" s="64">
        <v>0</v>
      </c>
      <c r="AK320" s="64">
        <v>0</v>
      </c>
      <c r="AL320" s="64">
        <v>0</v>
      </c>
      <c r="AM320" s="64">
        <v>1435431.6034000001</v>
      </c>
      <c r="AN320" s="65">
        <v>130679.33899999999</v>
      </c>
      <c r="AO320" s="66">
        <v>246139.01129264</v>
      </c>
      <c r="AP320" s="128">
        <f>+N320-'Приложение №2'!E329</f>
        <v>0</v>
      </c>
      <c r="AQ320" s="127">
        <f>1647685.87-R104</f>
        <v>1542119.52</v>
      </c>
      <c r="AR320" s="25">
        <f t="shared" si="149"/>
        <v>389782.8</v>
      </c>
      <c r="AS320" s="25">
        <f>+(K320*10+L320*20)*12*30-S104</f>
        <v>12760046.104623919</v>
      </c>
      <c r="AT320" s="127">
        <f t="shared" si="131"/>
        <v>-12760046.104623919</v>
      </c>
      <c r="AU320" s="127">
        <f>+P320-'[6]Приложение №1'!$P294</f>
        <v>-3218407.5900000003</v>
      </c>
      <c r="AV320" s="127">
        <f>+Q320-'[6]Приложение №1'!$Q294</f>
        <v>0</v>
      </c>
      <c r="AW320" s="63">
        <f t="shared" si="132"/>
        <v>1586238.6009006</v>
      </c>
      <c r="AX320" s="64"/>
      <c r="AY320" s="64">
        <v>1524520.14</v>
      </c>
      <c r="AZ320" s="64"/>
      <c r="BA320" s="64"/>
      <c r="BB320" s="64"/>
      <c r="BC320" s="64"/>
      <c r="BD320" s="64"/>
      <c r="BE320" s="64">
        <v>0</v>
      </c>
      <c r="BF320" s="64">
        <v>0</v>
      </c>
      <c r="BG320" s="64">
        <v>0</v>
      </c>
      <c r="BH320" s="64">
        <v>0</v>
      </c>
      <c r="BI320" s="64">
        <v>0</v>
      </c>
      <c r="BJ320" s="64"/>
      <c r="BK320" s="65"/>
      <c r="BL320" s="66">
        <v>61718.46090060001</v>
      </c>
    </row>
    <row r="321" spans="1:64" x14ac:dyDescent="0.25">
      <c r="A321" s="141">
        <f t="shared" si="129"/>
        <v>303</v>
      </c>
      <c r="B321" s="142">
        <f t="shared" si="130"/>
        <v>115</v>
      </c>
      <c r="C321" s="62" t="s">
        <v>52</v>
      </c>
      <c r="D321" s="62" t="s">
        <v>720</v>
      </c>
      <c r="E321" s="123">
        <v>1981</v>
      </c>
      <c r="F321" s="123">
        <v>2013</v>
      </c>
      <c r="G321" s="123" t="s">
        <v>43</v>
      </c>
      <c r="H321" s="123">
        <v>5</v>
      </c>
      <c r="I321" s="123">
        <v>4</v>
      </c>
      <c r="J321" s="64">
        <v>4887.3</v>
      </c>
      <c r="K321" s="64">
        <v>4312.8999999999996</v>
      </c>
      <c r="L321" s="64">
        <v>0</v>
      </c>
      <c r="M321" s="124">
        <v>194</v>
      </c>
      <c r="N321" s="95">
        <f t="shared" si="126"/>
        <v>14886688.384542881</v>
      </c>
      <c r="O321" s="64"/>
      <c r="P321" s="65">
        <v>10420005.460000001</v>
      </c>
      <c r="Q321" s="65"/>
      <c r="R321" s="65">
        <v>729880.66454287991</v>
      </c>
      <c r="S321" s="65">
        <v>3736802.26</v>
      </c>
      <c r="T321" s="64">
        <f>+'Приложение №2'!E330-'Приложение №1'!P321-'Приложение №1'!Q321-'Приложение №1'!R321-'Приложение №1'!S321</f>
        <v>0</v>
      </c>
      <c r="U321" s="65">
        <f t="shared" si="148"/>
        <v>3451.6655578712425</v>
      </c>
      <c r="V321" s="65">
        <f t="shared" si="148"/>
        <v>3451.6655578712425</v>
      </c>
      <c r="W321" s="126">
        <v>2023</v>
      </c>
      <c r="X321" s="127" t="e">
        <f>+#REF!-'[1]Приложение №1'!$P1077</f>
        <v>#REF!</v>
      </c>
      <c r="Z321" s="63">
        <f t="shared" si="150"/>
        <v>78714458.100000009</v>
      </c>
      <c r="AA321" s="64">
        <v>7207971.2584861796</v>
      </c>
      <c r="AB321" s="64">
        <v>4168566.8282411997</v>
      </c>
      <c r="AC321" s="64">
        <v>4406483.7908326201</v>
      </c>
      <c r="AD321" s="64">
        <v>3359981.3480309998</v>
      </c>
      <c r="AE321" s="64">
        <v>1342243.77142212</v>
      </c>
      <c r="AF321" s="64"/>
      <c r="AG321" s="64">
        <v>358162.19323499996</v>
      </c>
      <c r="AH321" s="64">
        <v>0</v>
      </c>
      <c r="AI321" s="64">
        <v>12831286.273936201</v>
      </c>
      <c r="AJ321" s="64">
        <v>0</v>
      </c>
      <c r="AK321" s="64">
        <v>24912015.084657121</v>
      </c>
      <c r="AL321" s="64">
        <v>9797576.0184224993</v>
      </c>
      <c r="AM321" s="64">
        <v>8047601.1061000004</v>
      </c>
      <c r="AN321" s="65">
        <v>787144.58100000001</v>
      </c>
      <c r="AO321" s="66">
        <v>1495425.8456360602</v>
      </c>
      <c r="AP321" s="128">
        <f>+N321-'Приложение №2'!E330</f>
        <v>0</v>
      </c>
      <c r="AQ321" s="23">
        <v>1978942.68</v>
      </c>
      <c r="AR321" s="25">
        <f t="shared" si="149"/>
        <v>439915.8</v>
      </c>
      <c r="AS321" s="25">
        <f>+(K321*10+L321*20)*12*30</f>
        <v>15526440</v>
      </c>
      <c r="AT321" s="127">
        <f t="shared" si="131"/>
        <v>-11789637.74</v>
      </c>
      <c r="AU321" s="127">
        <f>+P321-'[6]Приложение №1'!$P295</f>
        <v>0</v>
      </c>
      <c r="AV321" s="127">
        <f>+Q321-'[6]Приложение №1'!$Q295</f>
        <v>0</v>
      </c>
      <c r="AW321" s="63">
        <f t="shared" si="132"/>
        <v>14886688.384542881</v>
      </c>
      <c r="AX321" s="64"/>
      <c r="AY321" s="64"/>
      <c r="AZ321" s="64"/>
      <c r="BA321" s="64"/>
      <c r="BB321" s="64"/>
      <c r="BC321" s="64"/>
      <c r="BD321" s="64"/>
      <c r="BE321" s="64"/>
      <c r="BF321" s="64"/>
      <c r="BG321" s="64">
        <v>0</v>
      </c>
      <c r="BH321" s="64">
        <v>14156807.720000001</v>
      </c>
      <c r="BI321" s="64"/>
      <c r="BJ321" s="64">
        <v>185105.35</v>
      </c>
      <c r="BK321" s="65"/>
      <c r="BL321" s="66">
        <v>544775.31454288005</v>
      </c>
    </row>
    <row r="322" spans="1:64" x14ac:dyDescent="0.25">
      <c r="A322" s="141">
        <f t="shared" si="129"/>
        <v>304</v>
      </c>
      <c r="B322" s="142">
        <f t="shared" si="130"/>
        <v>116</v>
      </c>
      <c r="C322" s="62" t="s">
        <v>52</v>
      </c>
      <c r="D322" s="62" t="s">
        <v>1037</v>
      </c>
      <c r="E322" s="123">
        <v>1979</v>
      </c>
      <c r="F322" s="123">
        <v>2013</v>
      </c>
      <c r="G322" s="123" t="s">
        <v>43</v>
      </c>
      <c r="H322" s="123">
        <v>4</v>
      </c>
      <c r="I322" s="123">
        <v>4</v>
      </c>
      <c r="J322" s="64">
        <v>3969.95</v>
      </c>
      <c r="K322" s="64">
        <v>3453.7</v>
      </c>
      <c r="L322" s="64">
        <v>0</v>
      </c>
      <c r="M322" s="124">
        <v>154</v>
      </c>
      <c r="N322" s="95">
        <f t="shared" si="126"/>
        <v>2118372.9759979998</v>
      </c>
      <c r="O322" s="64"/>
      <c r="P322" s="65"/>
      <c r="Q322" s="65"/>
      <c r="R322" s="65">
        <f>+AQ322+AR322-102179.5</f>
        <v>1705810.5499999998</v>
      </c>
      <c r="S322" s="65">
        <f>+'Приложение №2'!E331-'Приложение №1'!R322</f>
        <v>412562.42599799996</v>
      </c>
      <c r="T322" s="64">
        <f>+'Приложение №2'!E331-'Приложение №1'!P322-'Приложение №1'!Q322-'Приложение №1'!R322-'Приложение №1'!S322</f>
        <v>0</v>
      </c>
      <c r="U322" s="65">
        <f t="shared" si="148"/>
        <v>613.36334250166487</v>
      </c>
      <c r="V322" s="65">
        <f t="shared" si="148"/>
        <v>613.36334250166487</v>
      </c>
      <c r="W322" s="126">
        <v>2023</v>
      </c>
      <c r="X322" s="127" t="e">
        <f>+#REF!-'[1]Приложение №1'!$P1280</f>
        <v>#REF!</v>
      </c>
      <c r="Z322" s="63">
        <f t="shared" si="150"/>
        <v>19594173.580000002</v>
      </c>
      <c r="AA322" s="64">
        <v>5813706.7057906203</v>
      </c>
      <c r="AB322" s="64">
        <v>3362225.5261996798</v>
      </c>
      <c r="AC322" s="64">
        <v>3554121.3229787997</v>
      </c>
      <c r="AD322" s="64">
        <v>2710047.7279637996</v>
      </c>
      <c r="AE322" s="64">
        <v>1082608.5872498399</v>
      </c>
      <c r="AF322" s="64"/>
      <c r="AG322" s="64">
        <v>288881.55977184005</v>
      </c>
      <c r="AH322" s="64">
        <v>0</v>
      </c>
      <c r="AI322" s="64">
        <v>0</v>
      </c>
      <c r="AJ322" s="64">
        <v>0</v>
      </c>
      <c r="AK322" s="64">
        <v>0</v>
      </c>
      <c r="AL322" s="64">
        <v>0</v>
      </c>
      <c r="AM322" s="64">
        <v>2219004.9588999995</v>
      </c>
      <c r="AN322" s="65">
        <v>195941.73580000002</v>
      </c>
      <c r="AO322" s="66">
        <v>367635.45534541999</v>
      </c>
      <c r="AP322" s="128">
        <f>+N322-'Приложение №2'!E331</f>
        <v>0</v>
      </c>
      <c r="AQ322" s="23">
        <v>1455712.65</v>
      </c>
      <c r="AR322" s="25">
        <f t="shared" si="149"/>
        <v>352277.39999999997</v>
      </c>
      <c r="AS322" s="25">
        <f>+(K322*10+L322*20)*12*30</f>
        <v>12433320</v>
      </c>
      <c r="AT322" s="127">
        <f t="shared" si="131"/>
        <v>-12020757.574002</v>
      </c>
      <c r="AU322" s="127">
        <f>+P322-'[6]Приложение №1'!$P296</f>
        <v>-4346316.5754666664</v>
      </c>
      <c r="AV322" s="127">
        <f>+Q322-'[6]Приложение №1'!$Q296</f>
        <v>0</v>
      </c>
      <c r="AW322" s="63">
        <f t="shared" si="132"/>
        <v>2118372.9759979998</v>
      </c>
      <c r="AX322" s="64"/>
      <c r="AY322" s="64"/>
      <c r="AZ322" s="64">
        <v>1824432.9</v>
      </c>
      <c r="BA322" s="64"/>
      <c r="BB322" s="64"/>
      <c r="BC322" s="64"/>
      <c r="BD322" s="64"/>
      <c r="BE322" s="64">
        <v>0</v>
      </c>
      <c r="BF322" s="64">
        <v>0</v>
      </c>
      <c r="BG322" s="64">
        <v>0</v>
      </c>
      <c r="BH322" s="64">
        <v>0</v>
      </c>
      <c r="BI322" s="64">
        <v>0</v>
      </c>
      <c r="BJ322" s="64"/>
      <c r="BK322" s="65"/>
      <c r="BL322" s="66">
        <v>293940.07599800004</v>
      </c>
    </row>
    <row r="323" spans="1:64" s="74" customFormat="1" x14ac:dyDescent="0.25">
      <c r="A323" s="141">
        <f t="shared" si="129"/>
        <v>305</v>
      </c>
      <c r="B323" s="142">
        <f t="shared" si="130"/>
        <v>117</v>
      </c>
      <c r="C323" s="62" t="s">
        <v>94</v>
      </c>
      <c r="D323" s="62" t="s">
        <v>721</v>
      </c>
      <c r="E323" s="123" t="s">
        <v>115</v>
      </c>
      <c r="F323" s="123"/>
      <c r="G323" s="123" t="s">
        <v>43</v>
      </c>
      <c r="H323" s="123" t="s">
        <v>105</v>
      </c>
      <c r="I323" s="123" t="s">
        <v>98</v>
      </c>
      <c r="J323" s="64">
        <v>2017.1</v>
      </c>
      <c r="K323" s="64">
        <v>1568.7</v>
      </c>
      <c r="L323" s="64">
        <v>241.9</v>
      </c>
      <c r="M323" s="124">
        <v>64</v>
      </c>
      <c r="N323" s="95">
        <f t="shared" si="126"/>
        <v>15021912.310913507</v>
      </c>
      <c r="O323" s="64">
        <v>0</v>
      </c>
      <c r="P323" s="65">
        <f>+'Приложение №2'!E332-'Приложение №1'!R323-'Приложение №1'!S323</f>
        <v>6392978.0209135078</v>
      </c>
      <c r="Q323" s="65">
        <v>0</v>
      </c>
      <c r="R323" s="65">
        <f>+AQ323+AR323</f>
        <v>1239934.29</v>
      </c>
      <c r="S323" s="65">
        <f>+AS323</f>
        <v>7389000</v>
      </c>
      <c r="T323" s="65">
        <f>+'Приложение №2'!E332-'Приложение №1'!P323-'Приложение №1'!R323-'Приложение №1'!S323</f>
        <v>0</v>
      </c>
      <c r="U323" s="64">
        <f t="shared" si="148"/>
        <v>8296.6487964837652</v>
      </c>
      <c r="V323" s="64">
        <f t="shared" si="148"/>
        <v>8296.6487964837652</v>
      </c>
      <c r="W323" s="126">
        <v>2023</v>
      </c>
      <c r="X323" s="74">
        <v>737547.36</v>
      </c>
      <c r="Y323" s="74">
        <f>+(K323*9.1+L323*18.19)*12</f>
        <v>224103.97199999998</v>
      </c>
      <c r="AA323" s="129">
        <f>+N323-'[5]Приложение № 2'!E283</f>
        <v>10664375.720913507</v>
      </c>
      <c r="AD323" s="129">
        <f>+N323-'[5]Приложение № 2'!E283</f>
        <v>10664375.720913507</v>
      </c>
      <c r="AP323" s="128">
        <f>+N323-'Приложение №2'!E332</f>
        <v>0</v>
      </c>
      <c r="AQ323" s="74">
        <v>1030579.29</v>
      </c>
      <c r="AR323" s="25">
        <f t="shared" si="149"/>
        <v>209355</v>
      </c>
      <c r="AS323" s="25">
        <f>+(K323*10+L323*20)*12*30</f>
        <v>7389000</v>
      </c>
      <c r="AT323" s="127">
        <f t="shared" si="131"/>
        <v>0</v>
      </c>
      <c r="AU323" s="127">
        <f>+P323-'[6]Приложение №1'!$P298</f>
        <v>-575624.8761971062</v>
      </c>
      <c r="AV323" s="127">
        <f>+Q323-'[6]Приложение №1'!$Q298</f>
        <v>0</v>
      </c>
      <c r="AW323" s="63">
        <f t="shared" si="132"/>
        <v>15021912.310913509</v>
      </c>
      <c r="AX323" s="64"/>
      <c r="AY323" s="64">
        <v>1579170.278889101</v>
      </c>
      <c r="AZ323" s="64">
        <v>1749764.9776173774</v>
      </c>
      <c r="BA323" s="64">
        <v>1033837.3260811009</v>
      </c>
      <c r="BB323" s="64"/>
      <c r="BC323" s="64"/>
      <c r="BD323" s="64"/>
      <c r="BE323" s="64"/>
      <c r="BF323" s="64">
        <v>8595673.1500000004</v>
      </c>
      <c r="BG323" s="64"/>
      <c r="BH323" s="64"/>
      <c r="BI323" s="64"/>
      <c r="BJ323" s="64">
        <v>1182055.9529919669</v>
      </c>
      <c r="BK323" s="65">
        <v>42185.634482399997</v>
      </c>
      <c r="BL323" s="66">
        <v>839224.99085156212</v>
      </c>
    </row>
    <row r="324" spans="1:64" x14ac:dyDescent="0.25">
      <c r="A324" s="141">
        <f t="shared" si="129"/>
        <v>306</v>
      </c>
      <c r="B324" s="142">
        <f t="shared" si="130"/>
        <v>118</v>
      </c>
      <c r="C324" s="62" t="s">
        <v>52</v>
      </c>
      <c r="D324" s="62" t="s">
        <v>697</v>
      </c>
      <c r="E324" s="123">
        <v>1965</v>
      </c>
      <c r="F324" s="123">
        <v>2005</v>
      </c>
      <c r="G324" s="123" t="s">
        <v>43</v>
      </c>
      <c r="H324" s="123">
        <v>4</v>
      </c>
      <c r="I324" s="123">
        <v>4</v>
      </c>
      <c r="J324" s="64">
        <v>2661.8</v>
      </c>
      <c r="K324" s="64">
        <v>2220.4</v>
      </c>
      <c r="L324" s="64">
        <v>229.71</v>
      </c>
      <c r="M324" s="124">
        <v>111</v>
      </c>
      <c r="N324" s="63">
        <f t="shared" ref="N324" si="157">SUM(O324:T324)</f>
        <v>30086688.673177116</v>
      </c>
      <c r="O324" s="64"/>
      <c r="P324" s="65">
        <v>2471064.9300000002</v>
      </c>
      <c r="Q324" s="65"/>
      <c r="R324" s="65">
        <f t="shared" ref="R324" si="158">+AQ324+AR324</f>
        <v>258323.81636</v>
      </c>
      <c r="S324" s="65">
        <f>+AS324</f>
        <v>10129719.6</v>
      </c>
      <c r="T324" s="65">
        <f>+'Приложение №2'!E333-'Приложение №1'!P324-'Приложение №1'!Q324-'Приложение №1'!R324-'Приложение №1'!S324</f>
        <v>17227580.326817118</v>
      </c>
      <c r="U324" s="65">
        <f t="shared" ref="U324" si="159">N324/K324</f>
        <v>13550.121002151465</v>
      </c>
      <c r="V324" s="65">
        <v>1309.2830200640001</v>
      </c>
      <c r="W324" s="126">
        <v>2023</v>
      </c>
      <c r="X324" s="127" t="e">
        <f>+#REF!-'[1]Приложение №1'!$P1396</f>
        <v>#REF!</v>
      </c>
      <c r="Z324" s="63">
        <f t="shared" ref="Z324" si="160">SUM(AA324:AO324)</f>
        <v>26489548.390000001</v>
      </c>
      <c r="AA324" s="64">
        <v>5804794.2058142396</v>
      </c>
      <c r="AB324" s="64">
        <v>2068486.8169081199</v>
      </c>
      <c r="AC324" s="64">
        <v>2161108.4722953597</v>
      </c>
      <c r="AD324" s="64">
        <v>1352990.5470060001</v>
      </c>
      <c r="AE324" s="64">
        <v>827809.00358814001</v>
      </c>
      <c r="AF324" s="64"/>
      <c r="AG324" s="64">
        <v>222745.84764851996</v>
      </c>
      <c r="AH324" s="64">
        <v>0</v>
      </c>
      <c r="AI324" s="64">
        <v>10612047.031450199</v>
      </c>
      <c r="AJ324" s="64">
        <v>0</v>
      </c>
      <c r="AK324" s="64">
        <v>0</v>
      </c>
      <c r="AL324" s="64">
        <v>0</v>
      </c>
      <c r="AM324" s="64">
        <v>2670614.5608000001</v>
      </c>
      <c r="AN324" s="65">
        <v>264895.48389999999</v>
      </c>
      <c r="AO324" s="66">
        <v>504056.42058942007</v>
      </c>
      <c r="AP324" s="128">
        <f>+N324-'Приложение №2'!E333</f>
        <v>0</v>
      </c>
      <c r="AQ324" s="127">
        <f>1589432.29-R106</f>
        <v>-28684.905640000012</v>
      </c>
      <c r="AR324" s="25">
        <f t="shared" ref="AR324" si="161">+(K324*10.5+L324*21)*12*0.85</f>
        <v>287008.72200000001</v>
      </c>
      <c r="AS324" s="25">
        <f>+(K324*10.5+L324*21)*12*30</f>
        <v>10129719.6</v>
      </c>
      <c r="AT324" s="127">
        <f t="shared" si="131"/>
        <v>0</v>
      </c>
      <c r="AU324" s="127">
        <f>+P324-'[6]Приложение №1'!$P317</f>
        <v>-355254.90562400082</v>
      </c>
      <c r="AV324" s="127">
        <f>+Q324-'[6]Приложение №1'!$Q317</f>
        <v>0</v>
      </c>
      <c r="AW324" s="88">
        <f t="shared" si="132"/>
        <v>30086688.673177116</v>
      </c>
      <c r="AX324" s="64">
        <v>5849711.7173237624</v>
      </c>
      <c r="AY324" s="64"/>
      <c r="AZ324" s="64">
        <v>2177830.1779701547</v>
      </c>
      <c r="BA324" s="64"/>
      <c r="BB324" s="64"/>
      <c r="BC324" s="64"/>
      <c r="BD324" s="64">
        <v>224457.78122599761</v>
      </c>
      <c r="BE324" s="64">
        <v>0</v>
      </c>
      <c r="BF324" s="64">
        <v>10694143.905129086</v>
      </c>
      <c r="BG324" s="64">
        <v>0</v>
      </c>
      <c r="BH324" s="64"/>
      <c r="BI324" s="64">
        <v>5988963.4812416844</v>
      </c>
      <c r="BJ324" s="64">
        <v>3718496.5709544048</v>
      </c>
      <c r="BK324" s="65">
        <v>411105.06146944402</v>
      </c>
      <c r="BL324" s="66">
        <v>1021979.9778625823</v>
      </c>
    </row>
    <row r="325" spans="1:64" x14ac:dyDescent="0.25">
      <c r="A325" s="141">
        <f t="shared" si="129"/>
        <v>307</v>
      </c>
      <c r="B325" s="142">
        <f t="shared" si="130"/>
        <v>119</v>
      </c>
      <c r="C325" s="62" t="s">
        <v>52</v>
      </c>
      <c r="D325" s="62" t="s">
        <v>547</v>
      </c>
      <c r="E325" s="123">
        <v>1977</v>
      </c>
      <c r="F325" s="123">
        <v>2013</v>
      </c>
      <c r="G325" s="123" t="s">
        <v>43</v>
      </c>
      <c r="H325" s="123">
        <v>4</v>
      </c>
      <c r="I325" s="123">
        <v>4</v>
      </c>
      <c r="J325" s="64">
        <v>3916.4</v>
      </c>
      <c r="K325" s="64">
        <v>3440.3</v>
      </c>
      <c r="L325" s="64">
        <v>0</v>
      </c>
      <c r="M325" s="124">
        <v>163</v>
      </c>
      <c r="N325" s="95">
        <f t="shared" si="126"/>
        <v>11832476.0305063</v>
      </c>
      <c r="O325" s="64"/>
      <c r="P325" s="65">
        <v>3132903.93</v>
      </c>
      <c r="Q325" s="65"/>
      <c r="R325" s="65">
        <f>+AQ325+AR325+126392.79</f>
        <v>191703.25999999983</v>
      </c>
      <c r="S325" s="65">
        <f>+AS325</f>
        <v>138784.60031336173</v>
      </c>
      <c r="T325" s="65">
        <f>+'Приложение №2'!E334-'Приложение №1'!P325-'Приложение №1'!R325-'Приложение №1'!S325</f>
        <v>8369084.2401929386</v>
      </c>
      <c r="U325" s="64">
        <f t="shared" si="148"/>
        <v>3439.3733193344474</v>
      </c>
      <c r="V325" s="64">
        <f t="shared" si="148"/>
        <v>3439.3733193344474</v>
      </c>
      <c r="W325" s="126">
        <v>2023</v>
      </c>
      <c r="X325" s="127" t="e">
        <f>+#REF!-'[1]Приложение №1'!$P1319</f>
        <v>#REF!</v>
      </c>
      <c r="Z325" s="63">
        <f t="shared" ref="Z325:Z339" si="162">SUM(AA325:AO325)</f>
        <v>62685332.069999993</v>
      </c>
      <c r="AA325" s="64">
        <v>5740166.195995139</v>
      </c>
      <c r="AB325" s="64">
        <v>3319695.0395049001</v>
      </c>
      <c r="AC325" s="64">
        <v>3509163.4526478597</v>
      </c>
      <c r="AD325" s="64">
        <v>2675766.9644319597</v>
      </c>
      <c r="AE325" s="64">
        <v>1068914.1259818</v>
      </c>
      <c r="AF325" s="64"/>
      <c r="AG325" s="64">
        <v>285227.34661260003</v>
      </c>
      <c r="AH325" s="64">
        <v>0</v>
      </c>
      <c r="AI325" s="64">
        <v>10218369.797231399</v>
      </c>
      <c r="AJ325" s="64">
        <v>0</v>
      </c>
      <c r="AK325" s="64">
        <v>19839022.919366278</v>
      </c>
      <c r="AL325" s="64">
        <v>7802433.2655801</v>
      </c>
      <c r="AM325" s="64">
        <v>6408816.8779000007</v>
      </c>
      <c r="AN325" s="65">
        <v>626853.32070000004</v>
      </c>
      <c r="AO325" s="66">
        <v>1190902.7640479603</v>
      </c>
      <c r="AP325" s="128">
        <f>+N325-'Приложение №2'!E334</f>
        <v>0</v>
      </c>
      <c r="AQ325" s="127">
        <f>1681538.39-R107</f>
        <v>-285600.13000000012</v>
      </c>
      <c r="AR325" s="25">
        <f t="shared" si="149"/>
        <v>350910.6</v>
      </c>
      <c r="AS325" s="25">
        <f>+(K325*10+L325*20)*12*30-S107</f>
        <v>138784.60031336173</v>
      </c>
      <c r="AT325" s="127">
        <f t="shared" si="131"/>
        <v>0</v>
      </c>
      <c r="AU325" s="127">
        <f>+P325-'[6]Приложение №1'!$P300</f>
        <v>-236791.17584866658</v>
      </c>
      <c r="AV325" s="127">
        <f>+Q325-'[6]Приложение №1'!$Q300</f>
        <v>0</v>
      </c>
      <c r="AW325" s="63">
        <f t="shared" si="132"/>
        <v>11832476.0305063</v>
      </c>
      <c r="AX325" s="64"/>
      <c r="AY325" s="64"/>
      <c r="AZ325" s="64">
        <v>1782159.18</v>
      </c>
      <c r="BA325" s="91">
        <v>2245953.7400000002</v>
      </c>
      <c r="BB325" s="64"/>
      <c r="BC325" s="64"/>
      <c r="BD325" s="64"/>
      <c r="BE325" s="64"/>
      <c r="BF325" s="64"/>
      <c r="BG325" s="64"/>
      <c r="BH325" s="64"/>
      <c r="BI325" s="64">
        <v>6294505.1200000001</v>
      </c>
      <c r="BJ325" s="64">
        <v>1065595.152</v>
      </c>
      <c r="BK325" s="65">
        <v>110213.54349999999</v>
      </c>
      <c r="BL325" s="66">
        <v>334049.29500629997</v>
      </c>
    </row>
    <row r="326" spans="1:64" x14ac:dyDescent="0.25">
      <c r="A326" s="141">
        <f t="shared" si="129"/>
        <v>308</v>
      </c>
      <c r="B326" s="142">
        <f t="shared" si="130"/>
        <v>120</v>
      </c>
      <c r="C326" s="62" t="s">
        <v>52</v>
      </c>
      <c r="D326" s="62" t="s">
        <v>1089</v>
      </c>
      <c r="E326" s="123">
        <v>1978</v>
      </c>
      <c r="F326" s="123">
        <v>2013</v>
      </c>
      <c r="G326" s="123" t="s">
        <v>43</v>
      </c>
      <c r="H326" s="123">
        <v>4</v>
      </c>
      <c r="I326" s="123">
        <v>4</v>
      </c>
      <c r="J326" s="64">
        <v>3896.3</v>
      </c>
      <c r="K326" s="64">
        <v>3202.2</v>
      </c>
      <c r="L326" s="64">
        <v>496.4</v>
      </c>
      <c r="M326" s="124">
        <v>146</v>
      </c>
      <c r="N326" s="63">
        <f>SUM(O326:T326)</f>
        <v>7697496.0597745804</v>
      </c>
      <c r="O326" s="64"/>
      <c r="P326" s="65"/>
      <c r="Q326" s="65"/>
      <c r="R326" s="65">
        <f>+AQ326+AR326</f>
        <v>2506939.8899999997</v>
      </c>
      <c r="S326" s="65">
        <f>+'Приложение №2'!E335-'Приложение №1'!R326</f>
        <v>5190556.1697745807</v>
      </c>
      <c r="T326" s="65">
        <v>0</v>
      </c>
      <c r="U326" s="65">
        <f>N326/K326</f>
        <v>2403.8148959385985</v>
      </c>
      <c r="V326" s="65">
        <v>1310.2830200640001</v>
      </c>
      <c r="W326" s="126">
        <v>2023</v>
      </c>
      <c r="X326" s="127" t="e">
        <f>+#REF!-'[1]Приложение №1'!$P1086</f>
        <v>#REF!</v>
      </c>
      <c r="Z326" s="63">
        <f>SUM(AA326:AO326)</f>
        <v>7985643.379999999</v>
      </c>
      <c r="AA326" s="64">
        <v>5709280.8574947594</v>
      </c>
      <c r="AB326" s="64">
        <v>0</v>
      </c>
      <c r="AC326" s="64">
        <v>0</v>
      </c>
      <c r="AD326" s="64">
        <v>0</v>
      </c>
      <c r="AE326" s="64">
        <v>1063162.7663680802</v>
      </c>
      <c r="AF326" s="64"/>
      <c r="AG326" s="64">
        <v>0</v>
      </c>
      <c r="AH326" s="64">
        <v>0</v>
      </c>
      <c r="AI326" s="64">
        <v>0</v>
      </c>
      <c r="AJ326" s="64">
        <v>0</v>
      </c>
      <c r="AK326" s="64">
        <v>0</v>
      </c>
      <c r="AL326" s="64">
        <v>0</v>
      </c>
      <c r="AM326" s="64">
        <v>985243.69680000003</v>
      </c>
      <c r="AN326" s="65">
        <v>79856.433799999999</v>
      </c>
      <c r="AO326" s="66">
        <v>148099.62553716</v>
      </c>
      <c r="AP326" s="128">
        <f>+N326-'Приложение №2'!E335</f>
        <v>0</v>
      </c>
      <c r="AQ326" s="23">
        <f>2160865.59-103210.2</f>
        <v>2057655.39</v>
      </c>
      <c r="AR326" s="25">
        <f>+(K326*10.5+L326*21)*12*0.85</f>
        <v>449284.5</v>
      </c>
      <c r="AS326" s="25">
        <f>+(K326*10.5+L326*21)*12*30</f>
        <v>15857100</v>
      </c>
      <c r="AT326" s="127">
        <f>+S326-AS326</f>
        <v>-10666543.830225419</v>
      </c>
      <c r="AU326" s="127">
        <f>+P326-'[6]Приложение №1'!$P593</f>
        <v>0</v>
      </c>
      <c r="AV326" s="127">
        <f>+Q326-'[6]Приложение №1'!$Q593</f>
        <v>0</v>
      </c>
      <c r="AW326" s="88">
        <f>SUBTOTAL(9,AX326:BL326)</f>
        <v>7697496.0597745804</v>
      </c>
      <c r="AX326" s="64">
        <v>6682552.1900000004</v>
      </c>
      <c r="AY326" s="64">
        <v>0</v>
      </c>
      <c r="AZ326" s="64">
        <v>0</v>
      </c>
      <c r="BA326" s="64">
        <v>0</v>
      </c>
      <c r="BB326" s="64">
        <v>0</v>
      </c>
      <c r="BC326" s="64"/>
      <c r="BD326" s="64">
        <v>313091.46726934006</v>
      </c>
      <c r="BE326" s="64">
        <v>0</v>
      </c>
      <c r="BF326" s="64">
        <v>0</v>
      </c>
      <c r="BG326" s="64">
        <v>0</v>
      </c>
      <c r="BH326" s="64">
        <v>0</v>
      </c>
      <c r="BI326" s="64">
        <v>0</v>
      </c>
      <c r="BJ326" s="64">
        <v>512890.66080000001</v>
      </c>
      <c r="BK326" s="65">
        <v>64111.332600000002</v>
      </c>
      <c r="BL326" s="66">
        <v>124850.40910523999</v>
      </c>
    </row>
    <row r="327" spans="1:64" x14ac:dyDescent="0.25">
      <c r="A327" s="141">
        <f t="shared" si="129"/>
        <v>309</v>
      </c>
      <c r="B327" s="142">
        <f t="shared" si="130"/>
        <v>121</v>
      </c>
      <c r="C327" s="62" t="s">
        <v>52</v>
      </c>
      <c r="D327" s="62" t="s">
        <v>1090</v>
      </c>
      <c r="E327" s="123">
        <v>1964</v>
      </c>
      <c r="F327" s="123">
        <v>2009</v>
      </c>
      <c r="G327" s="123" t="s">
        <v>43</v>
      </c>
      <c r="H327" s="123">
        <v>4</v>
      </c>
      <c r="I327" s="123">
        <v>2</v>
      </c>
      <c r="J327" s="64">
        <v>1462.3</v>
      </c>
      <c r="K327" s="64">
        <v>1198.5999999999999</v>
      </c>
      <c r="L327" s="64">
        <v>42.9</v>
      </c>
      <c r="M327" s="124">
        <v>60</v>
      </c>
      <c r="N327" s="63">
        <f t="shared" ref="N327" si="163">SUM(O327:T327)</f>
        <v>11740041.57309347</v>
      </c>
      <c r="O327" s="64"/>
      <c r="P327" s="65">
        <v>1803576.66</v>
      </c>
      <c r="Q327" s="65"/>
      <c r="R327" s="65">
        <f t="shared" ref="R327" si="164">+AQ327+AR327</f>
        <v>737678.98</v>
      </c>
      <c r="S327" s="65">
        <f>+AS327</f>
        <v>4855032</v>
      </c>
      <c r="T327" s="65">
        <f>+'Приложение №2'!E336-'Приложение №1'!P327-'Приложение №1'!R327-'Приложение №1'!S327</f>
        <v>4343753.9330934696</v>
      </c>
      <c r="U327" s="65">
        <f t="shared" ref="U327" si="165">N327/K327</f>
        <v>9794.7952386896977</v>
      </c>
      <c r="V327" s="65">
        <v>1311.2830200640001</v>
      </c>
      <c r="W327" s="126">
        <v>2023</v>
      </c>
      <c r="X327" s="127" t="e">
        <f>+#REF!-'[1]Приложение №1'!$P812</f>
        <v>#REF!</v>
      </c>
      <c r="Z327" s="63">
        <f t="shared" ref="Z327" si="166">SUM(AA327:AO327)</f>
        <v>20418803.97526928</v>
      </c>
      <c r="AA327" s="64">
        <v>3233669.8007460004</v>
      </c>
      <c r="AB327" s="64">
        <v>1144519.81959</v>
      </c>
      <c r="AC327" s="64">
        <v>1220789.9808032832</v>
      </c>
      <c r="AD327" s="64">
        <v>768385.93582799996</v>
      </c>
      <c r="AE327" s="64">
        <v>553182.05875800003</v>
      </c>
      <c r="AF327" s="64"/>
      <c r="AG327" s="64">
        <v>117081.436122</v>
      </c>
      <c r="AH327" s="64">
        <v>0</v>
      </c>
      <c r="AI327" s="64">
        <v>5981715.0371580003</v>
      </c>
      <c r="AJ327" s="64">
        <v>0</v>
      </c>
      <c r="AK327" s="64">
        <v>3107129.5399619997</v>
      </c>
      <c r="AL327" s="64">
        <v>3344141.2588049173</v>
      </c>
      <c r="AM327" s="64">
        <v>451116.49</v>
      </c>
      <c r="AN327" s="64">
        <v>71289.704895854607</v>
      </c>
      <c r="AO327" s="66">
        <v>425782.9126012288</v>
      </c>
      <c r="AP327" s="128">
        <f>+N327-'Приложение №2'!E336</f>
        <v>0</v>
      </c>
      <c r="AQ327" s="23">
        <f>686372.31-86252.57</f>
        <v>600119.74</v>
      </c>
      <c r="AR327" s="25">
        <f t="shared" ref="AR327" si="167">+(K327*10.5+L327*21)*12*0.85</f>
        <v>137559.24</v>
      </c>
      <c r="AS327" s="25">
        <f>+(K327*10.5+L327*21)*12*30</f>
        <v>4855032</v>
      </c>
      <c r="AT327" s="127">
        <f t="shared" ref="AT327" si="168">+S327-AS327</f>
        <v>0</v>
      </c>
      <c r="AU327" s="127">
        <f>+P327-'[6]Приложение №1'!$P319</f>
        <v>1189013.42</v>
      </c>
      <c r="AV327" s="127">
        <f>+Q327-'[6]Приложение №1'!$Q319</f>
        <v>0</v>
      </c>
      <c r="AW327" s="88">
        <f t="shared" ref="AW327" si="169">SUBTOTAL(9,AX327:BL327)</f>
        <v>11740041.57309347</v>
      </c>
      <c r="AX327" s="64">
        <v>3280088.99</v>
      </c>
      <c r="AY327" s="64"/>
      <c r="AZ327" s="64">
        <v>1247962.1000000001</v>
      </c>
      <c r="BA327" s="64"/>
      <c r="BB327" s="64"/>
      <c r="BC327" s="64"/>
      <c r="BD327" s="64">
        <v>117081.436122</v>
      </c>
      <c r="BE327" s="64">
        <v>0</v>
      </c>
      <c r="BF327" s="64">
        <v>6081223.3600000003</v>
      </c>
      <c r="BG327" s="64">
        <v>0</v>
      </c>
      <c r="BH327" s="64"/>
      <c r="BI327" s="64"/>
      <c r="BJ327" s="64">
        <v>390060.34770000004</v>
      </c>
      <c r="BK327" s="64">
        <v>37971.527699999999</v>
      </c>
      <c r="BL327" s="66">
        <v>585653.81157147221</v>
      </c>
    </row>
    <row r="328" spans="1:64" x14ac:dyDescent="0.25">
      <c r="A328" s="141">
        <f t="shared" si="129"/>
        <v>310</v>
      </c>
      <c r="B328" s="142">
        <f t="shared" si="130"/>
        <v>122</v>
      </c>
      <c r="C328" s="62" t="s">
        <v>52</v>
      </c>
      <c r="D328" s="62" t="s">
        <v>722</v>
      </c>
      <c r="E328" s="123">
        <v>1972</v>
      </c>
      <c r="F328" s="123">
        <v>2013</v>
      </c>
      <c r="G328" s="123" t="s">
        <v>43</v>
      </c>
      <c r="H328" s="123">
        <v>4</v>
      </c>
      <c r="I328" s="123">
        <v>4</v>
      </c>
      <c r="J328" s="64">
        <v>4697.3599999999997</v>
      </c>
      <c r="K328" s="64">
        <v>3448.5</v>
      </c>
      <c r="L328" s="64">
        <v>0</v>
      </c>
      <c r="M328" s="124">
        <v>140</v>
      </c>
      <c r="N328" s="95">
        <f t="shared" si="126"/>
        <v>1535156.8941092999</v>
      </c>
      <c r="O328" s="64"/>
      <c r="P328" s="65"/>
      <c r="Q328" s="65"/>
      <c r="R328" s="65">
        <f>+'Приложение №2'!E337</f>
        <v>1535156.8941092999</v>
      </c>
      <c r="S328" s="65">
        <f>+'Приложение №2'!E337-'Приложение №1'!R328</f>
        <v>0</v>
      </c>
      <c r="T328" s="65">
        <v>0</v>
      </c>
      <c r="U328" s="64">
        <f t="shared" si="148"/>
        <v>445.16656346507176</v>
      </c>
      <c r="V328" s="64">
        <f t="shared" si="148"/>
        <v>445.16656346507176</v>
      </c>
      <c r="W328" s="126">
        <v>2023</v>
      </c>
      <c r="X328" s="127" t="e">
        <f>+#REF!-'[1]Приложение №1'!$P682</f>
        <v>#REF!</v>
      </c>
      <c r="Y328" s="23" t="s">
        <v>85</v>
      </c>
      <c r="Z328" s="63">
        <f t="shared" si="162"/>
        <v>10605893.634176001</v>
      </c>
      <c r="AA328" s="64">
        <v>0</v>
      </c>
      <c r="AB328" s="64">
        <v>0</v>
      </c>
      <c r="AC328" s="64">
        <v>0</v>
      </c>
      <c r="AD328" s="64">
        <v>0</v>
      </c>
      <c r="AE328" s="64">
        <v>1356649.13</v>
      </c>
      <c r="AF328" s="64"/>
      <c r="AG328" s="64">
        <v>0</v>
      </c>
      <c r="AH328" s="64">
        <v>0</v>
      </c>
      <c r="AI328" s="64">
        <v>0</v>
      </c>
      <c r="AJ328" s="64">
        <v>0</v>
      </c>
      <c r="AK328" s="64">
        <v>0</v>
      </c>
      <c r="AL328" s="64">
        <v>7865518.9895666996</v>
      </c>
      <c r="AM328" s="64">
        <v>1112408.5150000001</v>
      </c>
      <c r="AN328" s="65">
        <v>92809.23550000001</v>
      </c>
      <c r="AO328" s="66">
        <v>178507.76410930001</v>
      </c>
      <c r="AP328" s="128">
        <f>+N328-'Приложение №2'!E337</f>
        <v>0</v>
      </c>
      <c r="AQ328" s="23">
        <v>1644538</v>
      </c>
      <c r="AR328" s="25">
        <f t="shared" si="149"/>
        <v>351747</v>
      </c>
      <c r="AS328" s="25">
        <f t="shared" ref="AS328:AS335" si="170">+(K328*10+L328*20)*12*30</f>
        <v>12414600</v>
      </c>
      <c r="AT328" s="127">
        <f t="shared" si="131"/>
        <v>-12414600</v>
      </c>
      <c r="AU328" s="127">
        <f>+P328-'[6]Приложение №1'!$P301</f>
        <v>-7697397.540000001</v>
      </c>
      <c r="AV328" s="127">
        <f>+Q328-'[6]Приложение №1'!$Q301</f>
        <v>0</v>
      </c>
      <c r="AW328" s="63">
        <f t="shared" si="132"/>
        <v>1535156.8941092999</v>
      </c>
      <c r="AX328" s="64">
        <v>0</v>
      </c>
      <c r="AY328" s="64">
        <v>0</v>
      </c>
      <c r="AZ328" s="64">
        <v>0</v>
      </c>
      <c r="BA328" s="64">
        <v>0</v>
      </c>
      <c r="BB328" s="64">
        <v>1356649.13</v>
      </c>
      <c r="BC328" s="64"/>
      <c r="BD328" s="64"/>
      <c r="BE328" s="64">
        <v>0</v>
      </c>
      <c r="BF328" s="64">
        <v>0</v>
      </c>
      <c r="BG328" s="64">
        <v>0</v>
      </c>
      <c r="BH328" s="64">
        <v>0</v>
      </c>
      <c r="BI328" s="64"/>
      <c r="BJ328" s="64"/>
      <c r="BK328" s="65"/>
      <c r="BL328" s="66">
        <v>178507.76410930001</v>
      </c>
    </row>
    <row r="329" spans="1:64" x14ac:dyDescent="0.25">
      <c r="A329" s="141">
        <f t="shared" si="129"/>
        <v>311</v>
      </c>
      <c r="B329" s="142">
        <f t="shared" si="130"/>
        <v>123</v>
      </c>
      <c r="C329" s="62" t="s">
        <v>52</v>
      </c>
      <c r="D329" s="62" t="s">
        <v>723</v>
      </c>
      <c r="E329" s="123">
        <v>1971</v>
      </c>
      <c r="F329" s="123">
        <v>2013</v>
      </c>
      <c r="G329" s="123" t="s">
        <v>43</v>
      </c>
      <c r="H329" s="123">
        <v>4</v>
      </c>
      <c r="I329" s="123">
        <v>4</v>
      </c>
      <c r="J329" s="64">
        <v>4741.46</v>
      </c>
      <c r="K329" s="64">
        <v>3462.3</v>
      </c>
      <c r="L329" s="64">
        <v>0</v>
      </c>
      <c r="M329" s="124">
        <v>145</v>
      </c>
      <c r="N329" s="95">
        <f t="shared" si="126"/>
        <v>1601588.2380766002</v>
      </c>
      <c r="O329" s="64"/>
      <c r="P329" s="65"/>
      <c r="Q329" s="65"/>
      <c r="R329" s="65">
        <v>1392786.91</v>
      </c>
      <c r="S329" s="65">
        <v>208801.32807660033</v>
      </c>
      <c r="T329" s="65">
        <f>+'Приложение №2'!E338-'Приложение №1'!P329-'Приложение №1'!R329-'Приложение №1'!S329</f>
        <v>0</v>
      </c>
      <c r="U329" s="64">
        <f t="shared" si="148"/>
        <v>462.57927911405716</v>
      </c>
      <c r="V329" s="64">
        <f t="shared" si="148"/>
        <v>462.57927911405716</v>
      </c>
      <c r="W329" s="126">
        <v>2023</v>
      </c>
      <c r="X329" s="127" t="e">
        <f>+#REF!-'[1]Приложение №1'!$P683</f>
        <v>#REF!</v>
      </c>
      <c r="Z329" s="63">
        <f t="shared" si="162"/>
        <v>2790814.3390765996</v>
      </c>
      <c r="AA329" s="64">
        <v>0</v>
      </c>
      <c r="AB329" s="64">
        <v>0</v>
      </c>
      <c r="AC329" s="64">
        <v>0</v>
      </c>
      <c r="AD329" s="64">
        <v>0</v>
      </c>
      <c r="AE329" s="64">
        <v>1392786.91</v>
      </c>
      <c r="AF329" s="64"/>
      <c r="AG329" s="64">
        <v>0</v>
      </c>
      <c r="AH329" s="64">
        <v>0</v>
      </c>
      <c r="AI329" s="64">
        <v>0</v>
      </c>
      <c r="AJ329" s="64">
        <v>0</v>
      </c>
      <c r="AK329" s="64">
        <v>0</v>
      </c>
      <c r="AL329" s="64"/>
      <c r="AM329" s="64">
        <v>1123898.77</v>
      </c>
      <c r="AN329" s="65">
        <v>93958.260999999999</v>
      </c>
      <c r="AO329" s="66">
        <v>180170.39807660005</v>
      </c>
      <c r="AP329" s="128">
        <f>+N329-'Приложение №2'!E338</f>
        <v>0</v>
      </c>
      <c r="AQ329" s="23">
        <v>1642541.21</v>
      </c>
      <c r="AR329" s="25">
        <f t="shared" si="149"/>
        <v>353154.6</v>
      </c>
      <c r="AS329" s="25">
        <f t="shared" si="170"/>
        <v>12464280</v>
      </c>
      <c r="AT329" s="127">
        <f t="shared" si="131"/>
        <v>-12255478.671923399</v>
      </c>
      <c r="AU329" s="127">
        <f>+P329-'[6]Приложение №1'!$P302</f>
        <v>0</v>
      </c>
      <c r="AV329" s="127">
        <f>+Q329-'[6]Приложение №1'!$Q302</f>
        <v>0</v>
      </c>
      <c r="AW329" s="63">
        <f t="shared" si="132"/>
        <v>1601588.2380766002</v>
      </c>
      <c r="AX329" s="64">
        <v>0</v>
      </c>
      <c r="AY329" s="64">
        <v>0</v>
      </c>
      <c r="AZ329" s="64">
        <v>0</v>
      </c>
      <c r="BA329" s="64">
        <v>0</v>
      </c>
      <c r="BB329" s="64">
        <v>1421417.84</v>
      </c>
      <c r="BC329" s="64"/>
      <c r="BD329" s="64"/>
      <c r="BE329" s="64">
        <v>0</v>
      </c>
      <c r="BF329" s="64">
        <v>0</v>
      </c>
      <c r="BG329" s="64">
        <v>0</v>
      </c>
      <c r="BH329" s="64">
        <v>0</v>
      </c>
      <c r="BI329" s="64"/>
      <c r="BJ329" s="64"/>
      <c r="BK329" s="65"/>
      <c r="BL329" s="66">
        <v>180170.39807660005</v>
      </c>
    </row>
    <row r="330" spans="1:64" x14ac:dyDescent="0.25">
      <c r="A330" s="141">
        <f t="shared" si="129"/>
        <v>312</v>
      </c>
      <c r="B330" s="142">
        <f t="shared" si="130"/>
        <v>124</v>
      </c>
      <c r="C330" s="62" t="s">
        <v>52</v>
      </c>
      <c r="D330" s="62" t="s">
        <v>1091</v>
      </c>
      <c r="E330" s="123">
        <v>1972</v>
      </c>
      <c r="F330" s="123">
        <v>2013</v>
      </c>
      <c r="G330" s="123" t="s">
        <v>43</v>
      </c>
      <c r="H330" s="123">
        <v>4</v>
      </c>
      <c r="I330" s="123">
        <v>4</v>
      </c>
      <c r="J330" s="64">
        <v>4744.0600000000004</v>
      </c>
      <c r="K330" s="64">
        <v>3488.5</v>
      </c>
      <c r="L330" s="64">
        <v>0</v>
      </c>
      <c r="M330" s="124">
        <v>131</v>
      </c>
      <c r="N330" s="95">
        <f t="shared" si="126"/>
        <v>1411333.7441760001</v>
      </c>
      <c r="O330" s="64"/>
      <c r="P330" s="65"/>
      <c r="Q330" s="65"/>
      <c r="R330" s="65">
        <f>+'Приложение №2'!E339</f>
        <v>1411333.7441760001</v>
      </c>
      <c r="S330" s="65">
        <f>+'Приложение №2'!E339-'Приложение №1'!R330</f>
        <v>0</v>
      </c>
      <c r="T330" s="65">
        <v>0</v>
      </c>
      <c r="U330" s="64">
        <f t="shared" si="148"/>
        <v>404.56750585523866</v>
      </c>
      <c r="V330" s="64">
        <f t="shared" si="148"/>
        <v>404.56750585523866</v>
      </c>
      <c r="W330" s="126">
        <v>2023</v>
      </c>
      <c r="X330" s="127" t="e">
        <f>+#REF!-'[1]Приложение №1'!$P684</f>
        <v>#REF!</v>
      </c>
      <c r="Z330" s="63">
        <f t="shared" si="162"/>
        <v>10717070.434176002</v>
      </c>
      <c r="AA330" s="64">
        <v>0</v>
      </c>
      <c r="AB330" s="64">
        <v>0</v>
      </c>
      <c r="AC330" s="64">
        <v>0</v>
      </c>
      <c r="AD330" s="64">
        <v>0</v>
      </c>
      <c r="AE330" s="64">
        <v>1346427.66</v>
      </c>
      <c r="AF330" s="64"/>
      <c r="AG330" s="64">
        <v>0</v>
      </c>
      <c r="AH330" s="64">
        <v>0</v>
      </c>
      <c r="AI330" s="64">
        <v>0</v>
      </c>
      <c r="AJ330" s="64">
        <v>0</v>
      </c>
      <c r="AK330" s="64">
        <v>0</v>
      </c>
      <c r="AL330" s="64">
        <v>7971493.9287816007</v>
      </c>
      <c r="AM330" s="64">
        <v>1124576.2</v>
      </c>
      <c r="AN330" s="65">
        <v>94026.004000000001</v>
      </c>
      <c r="AO330" s="66">
        <v>180546.64139440004</v>
      </c>
      <c r="AP330" s="128">
        <f>+N330-'Приложение №2'!E339</f>
        <v>0</v>
      </c>
      <c r="AQ330" s="23">
        <v>1719366.16</v>
      </c>
      <c r="AR330" s="25">
        <f t="shared" si="149"/>
        <v>355827</v>
      </c>
      <c r="AS330" s="25">
        <f t="shared" si="170"/>
        <v>12558600</v>
      </c>
      <c r="AT330" s="127">
        <f t="shared" si="131"/>
        <v>-12558600</v>
      </c>
      <c r="AU330" s="127">
        <f>+P330-'[6]Приложение №1'!$P303</f>
        <v>-2008108.1622212788</v>
      </c>
      <c r="AV330" s="127">
        <f>+Q330-'[6]Приложение №1'!$Q303</f>
        <v>0</v>
      </c>
      <c r="AW330" s="63">
        <f t="shared" si="132"/>
        <v>1411333.7441760001</v>
      </c>
      <c r="AX330" s="64">
        <v>0</v>
      </c>
      <c r="AY330" s="64">
        <v>0</v>
      </c>
      <c r="AZ330" s="64">
        <v>0</v>
      </c>
      <c r="BA330" s="64">
        <v>0</v>
      </c>
      <c r="BB330" s="64">
        <v>1405107.53</v>
      </c>
      <c r="BC330" s="64"/>
      <c r="BD330" s="64"/>
      <c r="BE330" s="64">
        <v>0</v>
      </c>
      <c r="BF330" s="64">
        <v>0</v>
      </c>
      <c r="BG330" s="64">
        <v>0</v>
      </c>
      <c r="BH330" s="64">
        <v>0</v>
      </c>
      <c r="BI330" s="64"/>
      <c r="BJ330" s="64"/>
      <c r="BK330" s="65"/>
      <c r="BL330" s="66">
        <v>6226.2141759999995</v>
      </c>
    </row>
    <row r="331" spans="1:64" x14ac:dyDescent="0.25">
      <c r="A331" s="141">
        <f t="shared" si="129"/>
        <v>313</v>
      </c>
      <c r="B331" s="142">
        <f t="shared" si="130"/>
        <v>125</v>
      </c>
      <c r="C331" s="62" t="s">
        <v>52</v>
      </c>
      <c r="D331" s="62" t="s">
        <v>1092</v>
      </c>
      <c r="E331" s="123">
        <v>1972</v>
      </c>
      <c r="F331" s="123">
        <v>2013</v>
      </c>
      <c r="G331" s="123" t="s">
        <v>43</v>
      </c>
      <c r="H331" s="123">
        <v>4</v>
      </c>
      <c r="I331" s="123">
        <v>4</v>
      </c>
      <c r="J331" s="64">
        <v>4681.66</v>
      </c>
      <c r="K331" s="64">
        <v>3441.2</v>
      </c>
      <c r="L331" s="64">
        <v>0</v>
      </c>
      <c r="M331" s="124">
        <v>142</v>
      </c>
      <c r="N331" s="95">
        <f t="shared" si="126"/>
        <v>1419894.4741760001</v>
      </c>
      <c r="O331" s="64"/>
      <c r="P331" s="65"/>
      <c r="Q331" s="65"/>
      <c r="R331" s="65">
        <f>+'Приложение №2'!E340</f>
        <v>1419894.4741760001</v>
      </c>
      <c r="S331" s="65">
        <f>+'Приложение №2'!E340-'Приложение №1'!R331</f>
        <v>0</v>
      </c>
      <c r="T331" s="65">
        <v>0</v>
      </c>
      <c r="U331" s="64">
        <f t="shared" ref="U331:V352" si="171">$N331/($K331+$L331)</f>
        <v>412.61608571893532</v>
      </c>
      <c r="V331" s="64">
        <f t="shared" si="171"/>
        <v>412.61608571893532</v>
      </c>
      <c r="W331" s="126">
        <v>2023</v>
      </c>
      <c r="X331" s="127" t="e">
        <f>+#REF!-'[1]Приложение №1'!$P685</f>
        <v>#REF!</v>
      </c>
      <c r="Z331" s="63">
        <f t="shared" si="162"/>
        <v>10554632.254175998</v>
      </c>
      <c r="AA331" s="64">
        <v>0</v>
      </c>
      <c r="AB331" s="64">
        <v>0</v>
      </c>
      <c r="AC331" s="64">
        <v>0</v>
      </c>
      <c r="AD331" s="64">
        <v>0</v>
      </c>
      <c r="AE331" s="64">
        <v>1346569.54</v>
      </c>
      <c r="AF331" s="64"/>
      <c r="AG331" s="64">
        <v>0</v>
      </c>
      <c r="AH331" s="64">
        <v>0</v>
      </c>
      <c r="AI331" s="64">
        <v>0</v>
      </c>
      <c r="AJ331" s="64">
        <v>0</v>
      </c>
      <c r="AK331" s="64">
        <v>0</v>
      </c>
      <c r="AL331" s="64">
        <v>7829891.4404087989</v>
      </c>
      <c r="AM331" s="64">
        <v>1108317.8799999999</v>
      </c>
      <c r="AN331" s="65">
        <v>92400.171999999991</v>
      </c>
      <c r="AO331" s="66">
        <v>177453.22176719998</v>
      </c>
      <c r="AP331" s="128">
        <f>+N331-'Приложение №2'!E340</f>
        <v>0</v>
      </c>
      <c r="AQ331" s="23">
        <v>1671383.18</v>
      </c>
      <c r="AR331" s="25">
        <f t="shared" si="149"/>
        <v>351002.39999999997</v>
      </c>
      <c r="AS331" s="25">
        <f t="shared" si="170"/>
        <v>12388320</v>
      </c>
      <c r="AT331" s="127">
        <f t="shared" si="131"/>
        <v>-12388320</v>
      </c>
      <c r="AU331" s="127">
        <f>+P331-'[6]Приложение №1'!$P304</f>
        <v>0</v>
      </c>
      <c r="AV331" s="127">
        <f>+Q331-'[6]Приложение №1'!$Q304</f>
        <v>0</v>
      </c>
      <c r="AW331" s="63">
        <f t="shared" si="132"/>
        <v>1419894.4741760001</v>
      </c>
      <c r="AX331" s="64">
        <v>0</v>
      </c>
      <c r="AY331" s="64">
        <v>0</v>
      </c>
      <c r="AZ331" s="64">
        <v>0</v>
      </c>
      <c r="BA331" s="64">
        <v>0</v>
      </c>
      <c r="BB331" s="64">
        <v>1413665.12</v>
      </c>
      <c r="BC331" s="64"/>
      <c r="BD331" s="64"/>
      <c r="BE331" s="64">
        <v>0</v>
      </c>
      <c r="BF331" s="64">
        <v>0</v>
      </c>
      <c r="BG331" s="64">
        <v>0</v>
      </c>
      <c r="BH331" s="64">
        <v>0</v>
      </c>
      <c r="BI331" s="64"/>
      <c r="BJ331" s="64"/>
      <c r="BK331" s="65"/>
      <c r="BL331" s="66">
        <v>6229.3541759999989</v>
      </c>
    </row>
    <row r="332" spans="1:64" x14ac:dyDescent="0.25">
      <c r="A332" s="141">
        <f t="shared" si="129"/>
        <v>314</v>
      </c>
      <c r="B332" s="142">
        <f t="shared" si="130"/>
        <v>126</v>
      </c>
      <c r="C332" s="62" t="s">
        <v>52</v>
      </c>
      <c r="D332" s="62" t="s">
        <v>1093</v>
      </c>
      <c r="E332" s="123">
        <v>1968</v>
      </c>
      <c r="F332" s="123">
        <v>2013</v>
      </c>
      <c r="G332" s="123" t="s">
        <v>43</v>
      </c>
      <c r="H332" s="123">
        <v>4</v>
      </c>
      <c r="I332" s="123">
        <v>4</v>
      </c>
      <c r="J332" s="64">
        <v>2683.3</v>
      </c>
      <c r="K332" s="64">
        <v>2455</v>
      </c>
      <c r="L332" s="64">
        <v>0</v>
      </c>
      <c r="M332" s="124">
        <v>116</v>
      </c>
      <c r="N332" s="95">
        <f t="shared" si="126"/>
        <v>25478711.007879999</v>
      </c>
      <c r="O332" s="64"/>
      <c r="P332" s="65">
        <v>5099328.6800000006</v>
      </c>
      <c r="Q332" s="65"/>
      <c r="R332" s="65">
        <f>+AQ332+AR332</f>
        <v>1189922.94</v>
      </c>
      <c r="S332" s="65">
        <f>+AS332</f>
        <v>8838000</v>
      </c>
      <c r="T332" s="65">
        <f>+'Приложение №2'!E341-'Приложение №1'!P332-'Приложение №1'!R332-'Приложение №1'!S332</f>
        <v>10351459.387879997</v>
      </c>
      <c r="U332" s="64">
        <f t="shared" si="171"/>
        <v>10378.293689564154</v>
      </c>
      <c r="V332" s="64">
        <f t="shared" si="171"/>
        <v>10378.293689564154</v>
      </c>
      <c r="W332" s="126">
        <v>2023</v>
      </c>
      <c r="X332" s="127" t="e">
        <f>+#REF!-'[1]Приложение №1'!$P1472</f>
        <v>#REF!</v>
      </c>
      <c r="Z332" s="63">
        <f t="shared" si="162"/>
        <v>26448146.579999998</v>
      </c>
      <c r="AA332" s="64">
        <v>5795721.6070735799</v>
      </c>
      <c r="AB332" s="64">
        <v>2065253.8792078202</v>
      </c>
      <c r="AC332" s="64">
        <v>2157730.7733307197</v>
      </c>
      <c r="AD332" s="64">
        <v>1350875.8939846801</v>
      </c>
      <c r="AE332" s="64">
        <v>826515.18096840009</v>
      </c>
      <c r="AF332" s="64"/>
      <c r="AG332" s="64">
        <v>222397.71089423998</v>
      </c>
      <c r="AH332" s="64">
        <v>0</v>
      </c>
      <c r="AI332" s="64">
        <v>10595460.935770201</v>
      </c>
      <c r="AJ332" s="64">
        <v>0</v>
      </c>
      <c r="AK332" s="64">
        <v>0</v>
      </c>
      <c r="AL332" s="64">
        <v>0</v>
      </c>
      <c r="AM332" s="64">
        <v>2666440.5268000001</v>
      </c>
      <c r="AN332" s="65">
        <v>264481.46580000001</v>
      </c>
      <c r="AO332" s="66">
        <v>503268.60617036006</v>
      </c>
      <c r="AP332" s="128">
        <f>+N332-'Приложение №2'!E341</f>
        <v>0</v>
      </c>
      <c r="AQ332" s="23">
        <f>1035919.14-96406.2</f>
        <v>939512.94000000006</v>
      </c>
      <c r="AR332" s="25">
        <f t="shared" si="149"/>
        <v>250410</v>
      </c>
      <c r="AS332" s="25">
        <f t="shared" si="170"/>
        <v>8838000</v>
      </c>
      <c r="AT332" s="127">
        <f t="shared" si="131"/>
        <v>0</v>
      </c>
      <c r="AU332" s="127">
        <f>+P332-'[6]Приложение №1'!$P305</f>
        <v>0</v>
      </c>
      <c r="AV332" s="127">
        <f>+Q332-'[6]Приложение №1'!$Q305</f>
        <v>0</v>
      </c>
      <c r="AW332" s="63">
        <f t="shared" si="132"/>
        <v>25478711.007879999</v>
      </c>
      <c r="AX332" s="64">
        <v>6334618.4835359994</v>
      </c>
      <c r="AY332" s="64">
        <v>2285255.0308980001</v>
      </c>
      <c r="AZ332" s="64">
        <v>2421941.33</v>
      </c>
      <c r="BA332" s="64">
        <v>1543119.658416</v>
      </c>
      <c r="BB332" s="64"/>
      <c r="BC332" s="64"/>
      <c r="BD332" s="64">
        <v>222397.71089423998</v>
      </c>
      <c r="BE332" s="64">
        <v>0</v>
      </c>
      <c r="BF332" s="64">
        <v>11696963.74329</v>
      </c>
      <c r="BG332" s="64">
        <v>0</v>
      </c>
      <c r="BH332" s="64">
        <v>0</v>
      </c>
      <c r="BI332" s="64"/>
      <c r="BJ332" s="64">
        <v>388642.91079999995</v>
      </c>
      <c r="BK332" s="65">
        <v>50318.9908</v>
      </c>
      <c r="BL332" s="66">
        <v>535453.14924575994</v>
      </c>
    </row>
    <row r="333" spans="1:64" x14ac:dyDescent="0.25">
      <c r="A333" s="141">
        <f t="shared" si="129"/>
        <v>315</v>
      </c>
      <c r="B333" s="142">
        <f t="shared" si="130"/>
        <v>127</v>
      </c>
      <c r="C333" s="62" t="s">
        <v>52</v>
      </c>
      <c r="D333" s="62" t="s">
        <v>1094</v>
      </c>
      <c r="E333" s="123">
        <v>1970</v>
      </c>
      <c r="F333" s="123">
        <v>2013</v>
      </c>
      <c r="G333" s="123" t="s">
        <v>43</v>
      </c>
      <c r="H333" s="123">
        <v>4</v>
      </c>
      <c r="I333" s="123">
        <v>4</v>
      </c>
      <c r="J333" s="64">
        <v>2722.8</v>
      </c>
      <c r="K333" s="64">
        <v>2468.6999999999998</v>
      </c>
      <c r="L333" s="64">
        <v>72.099999999999994</v>
      </c>
      <c r="M333" s="124">
        <v>146</v>
      </c>
      <c r="N333" s="95">
        <f t="shared" si="126"/>
        <v>25854512.345737994</v>
      </c>
      <c r="O333" s="64"/>
      <c r="P333" s="65">
        <v>5122468.8333333321</v>
      </c>
      <c r="Q333" s="65"/>
      <c r="R333" s="65">
        <f>+AQ333+AR333</f>
        <v>1400822.9600000002</v>
      </c>
      <c r="S333" s="65">
        <f>+AS333</f>
        <v>9406440</v>
      </c>
      <c r="T333" s="65">
        <f>+'Приложение №2'!E342-'Приложение №1'!P333-'Приложение №1'!R333-'Приложение №1'!S333</f>
        <v>9924780.5524046607</v>
      </c>
      <c r="U333" s="64">
        <f t="shared" si="171"/>
        <v>10175.736911893104</v>
      </c>
      <c r="V333" s="64">
        <f t="shared" si="171"/>
        <v>10175.736911893104</v>
      </c>
      <c r="W333" s="126">
        <v>2023</v>
      </c>
      <c r="X333" s="127" t="e">
        <f>+#REF!-'[1]Приложение №1'!$P1473</f>
        <v>#REF!</v>
      </c>
      <c r="Z333" s="63">
        <f t="shared" si="162"/>
        <v>26878507.739999998</v>
      </c>
      <c r="AA333" s="64">
        <v>5890028.91603126</v>
      </c>
      <c r="AB333" s="64">
        <v>2098859.4476879397</v>
      </c>
      <c r="AC333" s="64">
        <v>2192841.1151652602</v>
      </c>
      <c r="AD333" s="64">
        <v>1372857.1864383598</v>
      </c>
      <c r="AE333" s="64">
        <v>839964.14065872005</v>
      </c>
      <c r="AF333" s="64"/>
      <c r="AG333" s="64">
        <v>226016.53592027997</v>
      </c>
      <c r="AH333" s="64">
        <v>0</v>
      </c>
      <c r="AI333" s="64">
        <v>10767869.049508201</v>
      </c>
      <c r="AJ333" s="64">
        <v>0</v>
      </c>
      <c r="AK333" s="64">
        <v>0</v>
      </c>
      <c r="AL333" s="64">
        <v>0</v>
      </c>
      <c r="AM333" s="64">
        <v>2709828.5368999997</v>
      </c>
      <c r="AN333" s="65">
        <v>268785.07740000001</v>
      </c>
      <c r="AO333" s="66">
        <v>511457.73428998003</v>
      </c>
      <c r="AP333" s="128">
        <f>+N333-'Приложение №2'!E342</f>
        <v>0</v>
      </c>
      <c r="AQ333" s="23">
        <f>1230267.29-95960.13</f>
        <v>1134307.1600000001</v>
      </c>
      <c r="AR333" s="25">
        <f t="shared" si="149"/>
        <v>266515.8</v>
      </c>
      <c r="AS333" s="25">
        <f t="shared" si="170"/>
        <v>9406440</v>
      </c>
      <c r="AT333" s="127">
        <f t="shared" si="131"/>
        <v>0</v>
      </c>
      <c r="AU333" s="127">
        <f>+P333-'[6]Приложение №1'!$P306</f>
        <v>0</v>
      </c>
      <c r="AV333" s="127">
        <f>+Q333-'[6]Приложение №1'!$Q306</f>
        <v>0</v>
      </c>
      <c r="AW333" s="63">
        <f t="shared" si="132"/>
        <v>25889637.380291998</v>
      </c>
      <c r="AX333" s="64">
        <v>6438393.5627339995</v>
      </c>
      <c r="AY333" s="64">
        <v>2323154.7703559999</v>
      </c>
      <c r="AZ333" s="64">
        <v>2462247.36</v>
      </c>
      <c r="BA333" s="64">
        <v>1568819.974554</v>
      </c>
      <c r="BB333" s="64"/>
      <c r="BC333" s="64"/>
      <c r="BD333" s="64">
        <v>226016.53592027997</v>
      </c>
      <c r="BE333" s="64">
        <v>0</v>
      </c>
      <c r="BF333" s="64">
        <v>11889999.423917999</v>
      </c>
      <c r="BG333" s="64">
        <v>0</v>
      </c>
      <c r="BH333" s="64">
        <v>0</v>
      </c>
      <c r="BI333" s="64">
        <v>0</v>
      </c>
      <c r="BJ333" s="64">
        <v>386371.78509999998</v>
      </c>
      <c r="BK333" s="65">
        <v>50356.725099999996</v>
      </c>
      <c r="BL333" s="66">
        <v>544277.24260971998</v>
      </c>
    </row>
    <row r="334" spans="1:64" x14ac:dyDescent="0.25">
      <c r="A334" s="141">
        <f t="shared" si="129"/>
        <v>316</v>
      </c>
      <c r="B334" s="142">
        <f t="shared" si="130"/>
        <v>128</v>
      </c>
      <c r="C334" s="62" t="s">
        <v>52</v>
      </c>
      <c r="D334" s="62" t="s">
        <v>1095</v>
      </c>
      <c r="E334" s="123">
        <v>1970</v>
      </c>
      <c r="F334" s="123">
        <v>2013</v>
      </c>
      <c r="G334" s="123" t="s">
        <v>43</v>
      </c>
      <c r="H334" s="123">
        <v>4</v>
      </c>
      <c r="I334" s="123">
        <v>4</v>
      </c>
      <c r="J334" s="64">
        <v>2981.5</v>
      </c>
      <c r="K334" s="64">
        <v>2738.8</v>
      </c>
      <c r="L334" s="64">
        <v>0</v>
      </c>
      <c r="M334" s="124">
        <v>153</v>
      </c>
      <c r="N334" s="95">
        <f t="shared" si="126"/>
        <v>27909769.888632003</v>
      </c>
      <c r="O334" s="64"/>
      <c r="P334" s="65">
        <v>8252506.3266666681</v>
      </c>
      <c r="Q334" s="65"/>
      <c r="R334" s="65">
        <f>+AQ334+AR334</f>
        <v>1403777.48</v>
      </c>
      <c r="S334" s="65">
        <f>+AS334</f>
        <v>9859680</v>
      </c>
      <c r="T334" s="65">
        <f>+'Приложение №2'!E343-'Приложение №1'!P334-'Приложение №1'!R334-'Приложение №1'!S334</f>
        <v>8393806.0819653347</v>
      </c>
      <c r="U334" s="64">
        <f t="shared" si="171"/>
        <v>10190.510401866512</v>
      </c>
      <c r="V334" s="64">
        <f t="shared" si="171"/>
        <v>10190.510401866512</v>
      </c>
      <c r="W334" s="126">
        <v>2023</v>
      </c>
      <c r="X334" s="127" t="e">
        <f>+#REF!-'[1]Приложение №1'!$P1089</f>
        <v>#REF!</v>
      </c>
      <c r="Z334" s="63">
        <f t="shared" si="162"/>
        <v>37346887.229999997</v>
      </c>
      <c r="AA334" s="64">
        <v>6507682.1298052203</v>
      </c>
      <c r="AB334" s="64">
        <v>2318954.6795356199</v>
      </c>
      <c r="AC334" s="64">
        <v>2422791.6618380998</v>
      </c>
      <c r="AD334" s="64">
        <v>1516820.7665175602</v>
      </c>
      <c r="AE334" s="64">
        <v>928046.31598097994</v>
      </c>
      <c r="AF334" s="64"/>
      <c r="AG334" s="64">
        <v>249717.57989135996</v>
      </c>
      <c r="AH334" s="64">
        <v>0</v>
      </c>
      <c r="AI334" s="64">
        <v>11897033.101632001</v>
      </c>
      <c r="AJ334" s="64">
        <v>0</v>
      </c>
      <c r="AK334" s="64">
        <v>0</v>
      </c>
      <c r="AL334" s="64">
        <v>6662611.7855203198</v>
      </c>
      <c r="AM334" s="64">
        <v>3758971.1671000002</v>
      </c>
      <c r="AN334" s="65">
        <v>373468.87229999999</v>
      </c>
      <c r="AO334" s="66">
        <v>710789.16987883998</v>
      </c>
      <c r="AP334" s="128">
        <f>+N334-'Приложение №2'!E343</f>
        <v>0</v>
      </c>
      <c r="AQ334" s="23">
        <f>1220932.16-96512.28</f>
        <v>1124419.8799999999</v>
      </c>
      <c r="AR334" s="25">
        <f t="shared" si="149"/>
        <v>279357.59999999998</v>
      </c>
      <c r="AS334" s="25">
        <f t="shared" si="170"/>
        <v>9859680</v>
      </c>
      <c r="AT334" s="127">
        <f t="shared" si="131"/>
        <v>0</v>
      </c>
      <c r="AU334" s="127">
        <f>+P334-'[6]Приложение №1'!$P307</f>
        <v>0</v>
      </c>
      <c r="AV334" s="127">
        <f>+Q334-'[6]Приложение №1'!$Q307</f>
        <v>0</v>
      </c>
      <c r="AW334" s="63">
        <f t="shared" si="132"/>
        <v>34130312.758029997</v>
      </c>
      <c r="AX334" s="64">
        <v>7094689.9108260004</v>
      </c>
      <c r="AY334" s="64">
        <v>2547296.6905259998</v>
      </c>
      <c r="AZ334" s="64">
        <v>1704018.34</v>
      </c>
      <c r="BA334" s="64">
        <v>1334515.24</v>
      </c>
      <c r="BB334" s="64"/>
      <c r="BC334" s="64"/>
      <c r="BD334" s="64">
        <v>249717.57989135996</v>
      </c>
      <c r="BE334" s="64">
        <v>0</v>
      </c>
      <c r="BF334" s="64">
        <v>13087063.849398002</v>
      </c>
      <c r="BG334" s="64">
        <v>0</v>
      </c>
      <c r="BH334" s="64">
        <v>0</v>
      </c>
      <c r="BI334" s="64">
        <v>7353384.3865860002</v>
      </c>
      <c r="BJ334" s="64"/>
      <c r="BK334" s="65"/>
      <c r="BL334" s="66">
        <v>759626.76080264</v>
      </c>
    </row>
    <row r="335" spans="1:64" x14ac:dyDescent="0.25">
      <c r="A335" s="141">
        <f t="shared" si="129"/>
        <v>317</v>
      </c>
      <c r="B335" s="142">
        <f t="shared" si="130"/>
        <v>129</v>
      </c>
      <c r="C335" s="62" t="s">
        <v>52</v>
      </c>
      <c r="D335" s="62" t="s">
        <v>724</v>
      </c>
      <c r="E335" s="123">
        <v>1972</v>
      </c>
      <c r="F335" s="123">
        <v>2013</v>
      </c>
      <c r="G335" s="123" t="s">
        <v>43</v>
      </c>
      <c r="H335" s="123">
        <v>4</v>
      </c>
      <c r="I335" s="123">
        <v>4</v>
      </c>
      <c r="J335" s="64">
        <v>4795.5600000000004</v>
      </c>
      <c r="K335" s="64">
        <v>3559.4</v>
      </c>
      <c r="L335" s="64">
        <v>0</v>
      </c>
      <c r="M335" s="124">
        <v>159</v>
      </c>
      <c r="N335" s="95">
        <f t="shared" si="126"/>
        <v>1519846.3999999999</v>
      </c>
      <c r="O335" s="64"/>
      <c r="P335" s="65"/>
      <c r="Q335" s="65"/>
      <c r="R335" s="65">
        <v>1256015.48</v>
      </c>
      <c r="S335" s="65">
        <v>263830.91999999993</v>
      </c>
      <c r="T335" s="65">
        <f>+'Приложение №2'!E344-'Приложение №1'!P335-'Приложение №1'!R335-'Приложение №1'!S335</f>
        <v>0</v>
      </c>
      <c r="U335" s="64">
        <f t="shared" si="171"/>
        <v>426.99511153565203</v>
      </c>
      <c r="V335" s="64">
        <f t="shared" si="171"/>
        <v>426.99511153565203</v>
      </c>
      <c r="W335" s="126">
        <v>2023</v>
      </c>
      <c r="X335" s="127">
        <f>+S335-'[1]Приложение №1'!$P688</f>
        <v>-1377208.4400000002</v>
      </c>
      <c r="Z335" s="63">
        <f t="shared" si="162"/>
        <v>1454339.57</v>
      </c>
      <c r="AA335" s="64">
        <v>0</v>
      </c>
      <c r="AB335" s="64">
        <v>0</v>
      </c>
      <c r="AC335" s="64">
        <v>0</v>
      </c>
      <c r="AD335" s="64">
        <v>0</v>
      </c>
      <c r="AE335" s="64">
        <v>1256015.48</v>
      </c>
      <c r="AF335" s="64"/>
      <c r="AG335" s="64">
        <v>0</v>
      </c>
      <c r="AH335" s="64">
        <v>0</v>
      </c>
      <c r="AI335" s="64">
        <v>0</v>
      </c>
      <c r="AJ335" s="64">
        <v>0</v>
      </c>
      <c r="AK335" s="64">
        <v>0</v>
      </c>
      <c r="AL335" s="64">
        <v>0</v>
      </c>
      <c r="AM335" s="64">
        <v>189224.09</v>
      </c>
      <c r="AN335" s="65">
        <v>2000</v>
      </c>
      <c r="AO335" s="66">
        <v>7100</v>
      </c>
      <c r="AP335" s="128">
        <f>+N335-'Приложение №2'!E344</f>
        <v>0</v>
      </c>
      <c r="AQ335" s="23">
        <v>1597911.73</v>
      </c>
      <c r="AR335" s="25">
        <f t="shared" si="149"/>
        <v>363058.8</v>
      </c>
      <c r="AS335" s="25">
        <f t="shared" si="170"/>
        <v>12813840</v>
      </c>
      <c r="AT335" s="127">
        <f t="shared" si="131"/>
        <v>-12550009.08</v>
      </c>
      <c r="AU335" s="127">
        <f>+P335-'[6]Приложение №1'!$P308</f>
        <v>0</v>
      </c>
      <c r="AV335" s="127">
        <f>+Q335-'[6]Приложение №1'!$Q308</f>
        <v>0</v>
      </c>
      <c r="AW335" s="63">
        <f t="shared" si="132"/>
        <v>1519846.3999999999</v>
      </c>
      <c r="AX335" s="64">
        <v>0</v>
      </c>
      <c r="AY335" s="64">
        <v>0</v>
      </c>
      <c r="AZ335" s="64">
        <v>0</v>
      </c>
      <c r="BA335" s="64">
        <v>0</v>
      </c>
      <c r="BB335" s="64">
        <v>1512746.4</v>
      </c>
      <c r="BC335" s="64"/>
      <c r="BD335" s="64"/>
      <c r="BE335" s="64">
        <v>0</v>
      </c>
      <c r="BF335" s="64">
        <v>0</v>
      </c>
      <c r="BG335" s="64">
        <v>0</v>
      </c>
      <c r="BH335" s="64">
        <v>0</v>
      </c>
      <c r="BI335" s="64">
        <v>0</v>
      </c>
      <c r="BJ335" s="64"/>
      <c r="BK335" s="65"/>
      <c r="BL335" s="66">
        <v>7100</v>
      </c>
    </row>
    <row r="336" spans="1:64" x14ac:dyDescent="0.25">
      <c r="A336" s="141">
        <f t="shared" si="129"/>
        <v>318</v>
      </c>
      <c r="B336" s="142">
        <f t="shared" si="130"/>
        <v>130</v>
      </c>
      <c r="C336" s="62" t="s">
        <v>52</v>
      </c>
      <c r="D336" s="62" t="s">
        <v>1041</v>
      </c>
      <c r="E336" s="123">
        <v>1973</v>
      </c>
      <c r="F336" s="123">
        <v>2013</v>
      </c>
      <c r="G336" s="123" t="s">
        <v>43</v>
      </c>
      <c r="H336" s="123">
        <v>4</v>
      </c>
      <c r="I336" s="123">
        <v>4</v>
      </c>
      <c r="J336" s="64">
        <v>4678.76</v>
      </c>
      <c r="K336" s="64">
        <v>3451.8</v>
      </c>
      <c r="L336" s="64">
        <v>0</v>
      </c>
      <c r="M336" s="124">
        <v>168</v>
      </c>
      <c r="N336" s="95">
        <f t="shared" si="126"/>
        <v>1520139.61</v>
      </c>
      <c r="O336" s="64"/>
      <c r="P336" s="65"/>
      <c r="Q336" s="65"/>
      <c r="R336" s="65">
        <f t="shared" ref="R336:R341" si="172">+AQ336+AR336</f>
        <v>0</v>
      </c>
      <c r="S336" s="65">
        <f>1274871.31+245268.3</f>
        <v>1520139.61</v>
      </c>
      <c r="T336" s="65">
        <f>+'Приложение №2'!E345-'Приложение №1'!P336-'Приложение №1'!R336-'Приложение №1'!S336</f>
        <v>0</v>
      </c>
      <c r="U336" s="64">
        <f t="shared" si="171"/>
        <v>440.39040790312299</v>
      </c>
      <c r="V336" s="64">
        <f t="shared" si="171"/>
        <v>440.39040790312299</v>
      </c>
      <c r="W336" s="126">
        <v>2023</v>
      </c>
      <c r="X336" s="127">
        <f>+S336-'[1]Приложение №1'!$P689</f>
        <v>-67123.870000000112</v>
      </c>
      <c r="Z336" s="63">
        <f t="shared" si="162"/>
        <v>1494080.68</v>
      </c>
      <c r="AA336" s="64">
        <v>0</v>
      </c>
      <c r="AB336" s="64">
        <v>0</v>
      </c>
      <c r="AC336" s="64">
        <v>0</v>
      </c>
      <c r="AD336" s="64">
        <v>0</v>
      </c>
      <c r="AE336" s="64">
        <v>1274871.31</v>
      </c>
      <c r="AF336" s="64"/>
      <c r="AG336" s="64">
        <v>0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209316.16</v>
      </c>
      <c r="AN336" s="65">
        <v>2500</v>
      </c>
      <c r="AO336" s="66">
        <v>7393.21</v>
      </c>
      <c r="AP336" s="128">
        <f>+N336-'Приложение №2'!E345</f>
        <v>0</v>
      </c>
      <c r="AQ336" s="127">
        <f>1522745.97-R111</f>
        <v>-352083.59999999986</v>
      </c>
      <c r="AR336" s="25">
        <f t="shared" si="149"/>
        <v>352083.6</v>
      </c>
      <c r="AS336" s="25">
        <f>+(K336*10+L336*20)*12*30-S111</f>
        <v>12356573.029999999</v>
      </c>
      <c r="AT336" s="127">
        <f t="shared" si="131"/>
        <v>-10836433.42</v>
      </c>
      <c r="AU336" s="127">
        <f>+P336-'[6]Приложение №1'!$P309</f>
        <v>-10420005.460000001</v>
      </c>
      <c r="AV336" s="127">
        <f>+Q336-'[6]Приложение №1'!$Q309</f>
        <v>0</v>
      </c>
      <c r="AW336" s="63">
        <f t="shared" si="132"/>
        <v>1520139.6099999999</v>
      </c>
      <c r="AX336" s="64">
        <v>0</v>
      </c>
      <c r="AY336" s="64">
        <v>0</v>
      </c>
      <c r="AZ336" s="64">
        <v>0</v>
      </c>
      <c r="BA336" s="64">
        <v>0</v>
      </c>
      <c r="BB336" s="64">
        <v>1512746.4</v>
      </c>
      <c r="BC336" s="64"/>
      <c r="BD336" s="64"/>
      <c r="BE336" s="64">
        <v>0</v>
      </c>
      <c r="BF336" s="64">
        <v>0</v>
      </c>
      <c r="BG336" s="64">
        <v>0</v>
      </c>
      <c r="BH336" s="64">
        <v>0</v>
      </c>
      <c r="BI336" s="64"/>
      <c r="BJ336" s="64"/>
      <c r="BK336" s="65"/>
      <c r="BL336" s="66">
        <v>7393.21</v>
      </c>
    </row>
    <row r="337" spans="1:64" x14ac:dyDescent="0.25">
      <c r="A337" s="141">
        <f t="shared" ref="A337:A400" si="173">+A336+1</f>
        <v>319</v>
      </c>
      <c r="B337" s="142">
        <f t="shared" ref="B337:B400" si="174">+B336+1</f>
        <v>131</v>
      </c>
      <c r="C337" s="62" t="s">
        <v>52</v>
      </c>
      <c r="D337" s="62" t="s">
        <v>1038</v>
      </c>
      <c r="E337" s="123">
        <v>1992</v>
      </c>
      <c r="F337" s="123">
        <v>2013</v>
      </c>
      <c r="G337" s="123" t="s">
        <v>43</v>
      </c>
      <c r="H337" s="123">
        <v>5</v>
      </c>
      <c r="I337" s="123">
        <v>4</v>
      </c>
      <c r="J337" s="64">
        <v>5274.7</v>
      </c>
      <c r="K337" s="64">
        <v>4397.95</v>
      </c>
      <c r="L337" s="64">
        <v>82.7</v>
      </c>
      <c r="M337" s="124">
        <v>351</v>
      </c>
      <c r="N337" s="95">
        <f t="shared" si="126"/>
        <v>10432840.03284708</v>
      </c>
      <c r="O337" s="64"/>
      <c r="P337" s="65">
        <v>3679232.53</v>
      </c>
      <c r="Q337" s="65"/>
      <c r="R337" s="65">
        <f t="shared" si="172"/>
        <v>94850.999999999825</v>
      </c>
      <c r="S337" s="65">
        <f>+AS337</f>
        <v>3034035.8371529169</v>
      </c>
      <c r="T337" s="65">
        <f>+'Приложение №2'!E346-'Приложение №1'!P337-'Приложение №1'!R337-'Приложение №1'!S337</f>
        <v>3624720.6656941641</v>
      </c>
      <c r="U337" s="65">
        <f t="shared" si="171"/>
        <v>2328.4211069481171</v>
      </c>
      <c r="V337" s="65">
        <f t="shared" si="171"/>
        <v>2328.4211069481171</v>
      </c>
      <c r="W337" s="126">
        <v>2023</v>
      </c>
      <c r="X337" s="127" t="e">
        <f>+#REF!-'[1]Приложение №1'!$P1297</f>
        <v>#REF!</v>
      </c>
      <c r="Z337" s="63">
        <f t="shared" si="162"/>
        <v>73758689.839999989</v>
      </c>
      <c r="AA337" s="64">
        <v>6929151.7355478602</v>
      </c>
      <c r="AB337" s="64">
        <v>4007317.8733992605</v>
      </c>
      <c r="AC337" s="64">
        <v>4236031.7089398</v>
      </c>
      <c r="AD337" s="64">
        <v>3230010.1851276006</v>
      </c>
      <c r="AE337" s="64">
        <v>0</v>
      </c>
      <c r="AF337" s="64"/>
      <c r="AG337" s="64">
        <v>344307.72949692002</v>
      </c>
      <c r="AH337" s="64">
        <v>0</v>
      </c>
      <c r="AI337" s="64">
        <v>12334945.070788199</v>
      </c>
      <c r="AJ337" s="64">
        <v>0</v>
      </c>
      <c r="AK337" s="64">
        <v>23948365.833656877</v>
      </c>
      <c r="AL337" s="64">
        <v>9418585.1320217997</v>
      </c>
      <c r="AM337" s="64">
        <v>7163024.8004000001</v>
      </c>
      <c r="AN337" s="65">
        <v>737586.89840000006</v>
      </c>
      <c r="AO337" s="66">
        <v>1409362.8722216799</v>
      </c>
      <c r="AP337" s="128">
        <f>+N337-'Приложение №2'!E346</f>
        <v>0</v>
      </c>
      <c r="AQ337" s="127">
        <f>1987606.27-R108</f>
        <v>-370610.70000000019</v>
      </c>
      <c r="AR337" s="25">
        <f t="shared" si="149"/>
        <v>465461.7</v>
      </c>
      <c r="AS337" s="25">
        <f>+(K337*10+L337*20)*12*30-S108</f>
        <v>3034035.8371529169</v>
      </c>
      <c r="AT337" s="127">
        <f t="shared" si="131"/>
        <v>0</v>
      </c>
      <c r="AU337" s="127">
        <f>+P337-'[6]Приложение №1'!$P310</f>
        <v>0</v>
      </c>
      <c r="AV337" s="127">
        <f>+Q337-'[6]Приложение №1'!$Q310</f>
        <v>0</v>
      </c>
      <c r="AW337" s="63">
        <f t="shared" si="132"/>
        <v>11699117.62284708</v>
      </c>
      <c r="AX337" s="64">
        <v>6146198.4400000004</v>
      </c>
      <c r="AY337" s="64">
        <v>3984439.31</v>
      </c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5"/>
      <c r="BL337" s="66">
        <v>1568479.8728470802</v>
      </c>
    </row>
    <row r="338" spans="1:64" x14ac:dyDescent="0.25">
      <c r="A338" s="141">
        <f t="shared" si="173"/>
        <v>320</v>
      </c>
      <c r="B338" s="142">
        <f t="shared" si="174"/>
        <v>132</v>
      </c>
      <c r="C338" s="62" t="s">
        <v>52</v>
      </c>
      <c r="D338" s="62" t="s">
        <v>1039</v>
      </c>
      <c r="E338" s="123">
        <v>1987</v>
      </c>
      <c r="F338" s="123">
        <v>1987</v>
      </c>
      <c r="G338" s="123" t="s">
        <v>43</v>
      </c>
      <c r="H338" s="123">
        <v>5</v>
      </c>
      <c r="I338" s="123">
        <v>3</v>
      </c>
      <c r="J338" s="64">
        <v>5170.7</v>
      </c>
      <c r="K338" s="64">
        <v>2871.7</v>
      </c>
      <c r="L338" s="64">
        <v>2299</v>
      </c>
      <c r="M338" s="124">
        <v>334</v>
      </c>
      <c r="N338" s="95">
        <f t="shared" si="126"/>
        <v>11081380.824908923</v>
      </c>
      <c r="O338" s="64"/>
      <c r="P338" s="65">
        <v>2477837.44</v>
      </c>
      <c r="Q338" s="65"/>
      <c r="R338" s="65">
        <f t="shared" si="172"/>
        <v>1137386.69</v>
      </c>
      <c r="S338" s="65">
        <v>4937533.0449089203</v>
      </c>
      <c r="T338" s="64">
        <f>+'Приложение №2'!E347-'Приложение №1'!P338-'Приложение №1'!Q338-'Приложение №1'!R338-'Приложение №1'!S338</f>
        <v>2528623.6500000022</v>
      </c>
      <c r="U338" s="65">
        <f t="shared" si="171"/>
        <v>2143.1103767205454</v>
      </c>
      <c r="V338" s="65">
        <f t="shared" si="171"/>
        <v>2143.1103767205454</v>
      </c>
      <c r="W338" s="126">
        <v>2023</v>
      </c>
      <c r="X338" s="127" t="e">
        <f>+#REF!-'[1]Приложение №1'!$P1295</f>
        <v>#REF!</v>
      </c>
      <c r="Z338" s="63">
        <f t="shared" si="162"/>
        <v>44376055.650000006</v>
      </c>
      <c r="AA338" s="64">
        <v>6705846.8643129608</v>
      </c>
      <c r="AB338" s="64">
        <v>2389568.92118868</v>
      </c>
      <c r="AC338" s="64">
        <v>2496567.8323118398</v>
      </c>
      <c r="AD338" s="64">
        <v>1563009.3139332</v>
      </c>
      <c r="AE338" s="64">
        <v>0</v>
      </c>
      <c r="AF338" s="64"/>
      <c r="AG338" s="64">
        <v>257321.70331307995</v>
      </c>
      <c r="AH338" s="64">
        <v>0</v>
      </c>
      <c r="AI338" s="64">
        <v>12259308.387853799</v>
      </c>
      <c r="AJ338" s="64">
        <v>0</v>
      </c>
      <c r="AK338" s="64">
        <v>6365089.67499342</v>
      </c>
      <c r="AL338" s="64">
        <v>6865494.2663706001</v>
      </c>
      <c r="AM338" s="64">
        <v>4179375.6532000005</v>
      </c>
      <c r="AN338" s="65">
        <v>443760.55650000001</v>
      </c>
      <c r="AO338" s="66">
        <v>850712.47602241999</v>
      </c>
      <c r="AP338" s="128">
        <f>+N338-'Приложение №2'!E347</f>
        <v>0</v>
      </c>
      <c r="AQ338" s="127">
        <f>2578731.31-R109</f>
        <v>375477.29000000004</v>
      </c>
      <c r="AR338" s="25">
        <f t="shared" si="149"/>
        <v>761909.4</v>
      </c>
      <c r="AS338" s="25">
        <f>+(K338*10+L338*20)*12*30-S109</f>
        <v>17973380.042891078</v>
      </c>
      <c r="AT338" s="127">
        <f t="shared" si="131"/>
        <v>-13035846.997982157</v>
      </c>
      <c r="AU338" s="127">
        <f>+P338-'[6]Приложение №1'!$P311</f>
        <v>0</v>
      </c>
      <c r="AV338" s="127">
        <f>+Q338-'[6]Приложение №1'!$Q311</f>
        <v>0</v>
      </c>
      <c r="AW338" s="63">
        <f t="shared" si="132"/>
        <v>11081380.824908921</v>
      </c>
      <c r="AX338" s="64">
        <v>5873059.1900000004</v>
      </c>
      <c r="AY338" s="64">
        <v>2875942.18</v>
      </c>
      <c r="AZ338" s="64"/>
      <c r="BA338" s="64">
        <v>1546747.33</v>
      </c>
      <c r="BB338" s="64"/>
      <c r="BC338" s="64"/>
      <c r="BD338" s="64"/>
      <c r="BE338" s="64"/>
      <c r="BF338" s="64"/>
      <c r="BG338" s="64"/>
      <c r="BH338" s="64"/>
      <c r="BI338" s="64"/>
      <c r="BJ338" s="64"/>
      <c r="BK338" s="65"/>
      <c r="BL338" s="66">
        <v>785632.12490892003</v>
      </c>
    </row>
    <row r="339" spans="1:64" x14ac:dyDescent="0.25">
      <c r="A339" s="141">
        <f t="shared" si="173"/>
        <v>321</v>
      </c>
      <c r="B339" s="142">
        <f t="shared" si="174"/>
        <v>133</v>
      </c>
      <c r="C339" s="62" t="s">
        <v>52</v>
      </c>
      <c r="D339" s="62" t="s">
        <v>1044</v>
      </c>
      <c r="E339" s="123">
        <v>1980</v>
      </c>
      <c r="F339" s="123">
        <v>2008</v>
      </c>
      <c r="G339" s="123" t="s">
        <v>43</v>
      </c>
      <c r="H339" s="123">
        <v>5</v>
      </c>
      <c r="I339" s="123">
        <v>6</v>
      </c>
      <c r="J339" s="64">
        <v>7149.4</v>
      </c>
      <c r="K339" s="64">
        <v>6325.2</v>
      </c>
      <c r="L339" s="64">
        <v>0</v>
      </c>
      <c r="M339" s="124">
        <v>293</v>
      </c>
      <c r="N339" s="95">
        <f t="shared" si="126"/>
        <v>67926919.808031857</v>
      </c>
      <c r="O339" s="64"/>
      <c r="P339" s="65">
        <v>17408998.079999998</v>
      </c>
      <c r="Q339" s="65"/>
      <c r="R339" s="65">
        <v>645170.4</v>
      </c>
      <c r="S339" s="65"/>
      <c r="T339" s="64">
        <f>+'Приложение №2'!E348-'Приложение №1'!P339-'Приложение №1'!Q339-'Приложение №1'!R339-'Приложение №1'!S339</f>
        <v>49872751.32803186</v>
      </c>
      <c r="U339" s="64">
        <f t="shared" si="171"/>
        <v>10739.094385637112</v>
      </c>
      <c r="V339" s="64">
        <f t="shared" si="171"/>
        <v>10739.094385637112</v>
      </c>
      <c r="W339" s="126">
        <v>2023</v>
      </c>
      <c r="X339" s="127" t="e">
        <f>+#REF!-'[1]Приложение №1'!$P1337</f>
        <v>#REF!</v>
      </c>
      <c r="Z339" s="63">
        <f t="shared" si="162"/>
        <v>114548451.67</v>
      </c>
      <c r="AA339" s="64">
        <v>10489330.258041179</v>
      </c>
      <c r="AB339" s="64">
        <v>6066266.4462859211</v>
      </c>
      <c r="AC339" s="64">
        <v>6412492.7922270596</v>
      </c>
      <c r="AD339" s="64">
        <v>4889580.2685996005</v>
      </c>
      <c r="AE339" s="64">
        <v>1953287.2251610199</v>
      </c>
      <c r="AF339" s="64"/>
      <c r="AG339" s="64">
        <v>521212.05792599992</v>
      </c>
      <c r="AH339" s="64">
        <v>0</v>
      </c>
      <c r="AI339" s="64">
        <v>18672604.894377001</v>
      </c>
      <c r="AJ339" s="64">
        <v>0</v>
      </c>
      <c r="AK339" s="64">
        <v>36252968.326471262</v>
      </c>
      <c r="AL339" s="64">
        <v>14257827.475101</v>
      </c>
      <c r="AM339" s="64">
        <v>11711193.4519</v>
      </c>
      <c r="AN339" s="65">
        <v>1145484.5167</v>
      </c>
      <c r="AO339" s="66">
        <v>2176203.9572099601</v>
      </c>
      <c r="AP339" s="128">
        <f>+N339-'Приложение №2'!E348</f>
        <v>0</v>
      </c>
      <c r="AQ339" s="127">
        <f>3044323.81-R114</f>
        <v>1383259.74</v>
      </c>
      <c r="AR339" s="25">
        <f t="shared" ref="AR339:AR354" si="175">+(K339*10+L339*20)*12*0.85</f>
        <v>645170.4</v>
      </c>
      <c r="AS339" s="25">
        <f>+(K339*10+L339*20)*12*30-S114</f>
        <v>5962476.743244838</v>
      </c>
      <c r="AT339" s="127">
        <f t="shared" si="131"/>
        <v>-5962476.743244838</v>
      </c>
      <c r="AU339" s="127">
        <f>+P339-'[6]Приложение №1'!$P313</f>
        <v>8142441.2859753314</v>
      </c>
      <c r="AV339" s="127">
        <f>+Q339-'[6]Приложение №1'!$Q313</f>
        <v>0</v>
      </c>
      <c r="AW339" s="63">
        <f t="shared" si="132"/>
        <v>67926919.808031857</v>
      </c>
      <c r="AX339" s="64">
        <v>7864219.1399999997</v>
      </c>
      <c r="AY339" s="62"/>
      <c r="AZ339" s="64">
        <v>2874656.38</v>
      </c>
      <c r="BA339" s="64">
        <v>1502641.16</v>
      </c>
      <c r="BB339" s="62"/>
      <c r="BC339" s="62"/>
      <c r="BD339" s="62"/>
      <c r="BE339" s="62"/>
      <c r="BF339" s="62"/>
      <c r="BG339" s="62"/>
      <c r="BH339" s="95">
        <v>36252968.326471299</v>
      </c>
      <c r="BI339" s="95">
        <v>15215386.67</v>
      </c>
      <c r="BJ339" s="64">
        <v>2584774.6794000003</v>
      </c>
      <c r="BK339" s="64">
        <v>286926.38929999998</v>
      </c>
      <c r="BL339" s="66">
        <f>552568.07023182+792778.99262874</f>
        <v>1345347.0628605601</v>
      </c>
    </row>
    <row r="340" spans="1:64" s="74" customFormat="1" x14ac:dyDescent="0.25">
      <c r="A340" s="141">
        <f t="shared" si="173"/>
        <v>322</v>
      </c>
      <c r="B340" s="142">
        <f t="shared" si="174"/>
        <v>134</v>
      </c>
      <c r="C340" s="62" t="s">
        <v>52</v>
      </c>
      <c r="D340" s="62" t="s">
        <v>725</v>
      </c>
      <c r="E340" s="123" t="s">
        <v>114</v>
      </c>
      <c r="F340" s="123"/>
      <c r="G340" s="123" t="s">
        <v>43</v>
      </c>
      <c r="H340" s="123" t="s">
        <v>108</v>
      </c>
      <c r="I340" s="123" t="s">
        <v>100</v>
      </c>
      <c r="J340" s="64">
        <v>7651.5</v>
      </c>
      <c r="K340" s="64">
        <v>6138</v>
      </c>
      <c r="L340" s="64">
        <v>119</v>
      </c>
      <c r="M340" s="124">
        <v>293</v>
      </c>
      <c r="N340" s="95">
        <f t="shared" si="126"/>
        <v>25578176.880670533</v>
      </c>
      <c r="O340" s="64">
        <v>0</v>
      </c>
      <c r="P340" s="65"/>
      <c r="Q340" s="65">
        <v>0</v>
      </c>
      <c r="R340" s="65">
        <f t="shared" si="172"/>
        <v>3376163.3</v>
      </c>
      <c r="S340" s="65">
        <f>+'Приложение №2'!E349-'Приложение №1'!R340</f>
        <v>22202013.580670532</v>
      </c>
      <c r="T340" s="65">
        <f>+'Приложение №2'!E349-'Приложение №1'!P340-'Приложение №1'!R340-'Приложение №1'!S340</f>
        <v>0</v>
      </c>
      <c r="U340" s="64">
        <f t="shared" si="171"/>
        <v>4087.9298195094348</v>
      </c>
      <c r="V340" s="64">
        <f t="shared" si="171"/>
        <v>4087.9298195094348</v>
      </c>
      <c r="W340" s="126">
        <v>2023</v>
      </c>
      <c r="X340" s="74">
        <v>2205585.94</v>
      </c>
      <c r="Y340" s="74">
        <f>+(K340*9.1+L340*18.19)*12</f>
        <v>696244.91999999993</v>
      </c>
      <c r="AA340" s="129">
        <f>+N340-'[5]Приложение № 2'!E299</f>
        <v>17088632.07067053</v>
      </c>
      <c r="AD340" s="129">
        <f>+N340-'[5]Приложение № 2'!E299</f>
        <v>17088632.07067053</v>
      </c>
      <c r="AP340" s="128">
        <f>+N340-'Приложение №2'!E349</f>
        <v>0</v>
      </c>
      <c r="AQ340" s="74">
        <v>2725811.3</v>
      </c>
      <c r="AR340" s="25">
        <f t="shared" si="175"/>
        <v>650352</v>
      </c>
      <c r="AS340" s="25">
        <f t="shared" ref="AS340:AS345" si="176">+(K340*10+L340*20)*12*30</f>
        <v>22953600</v>
      </c>
      <c r="AT340" s="127">
        <f t="shared" si="131"/>
        <v>-751586.41932946816</v>
      </c>
      <c r="AU340" s="127">
        <f>+P340-'[6]Приложение №1'!$P314</f>
        <v>-9563508.5829855986</v>
      </c>
      <c r="AV340" s="127">
        <f>+Q340-'[6]Приложение №1'!$Q314</f>
        <v>0</v>
      </c>
      <c r="AW340" s="63">
        <f t="shared" si="132"/>
        <v>25578176.880670533</v>
      </c>
      <c r="AX340" s="64"/>
      <c r="AY340" s="64"/>
      <c r="AZ340" s="64">
        <v>6092197.7857524259</v>
      </c>
      <c r="BA340" s="64"/>
      <c r="BB340" s="64"/>
      <c r="BC340" s="64"/>
      <c r="BD340" s="64"/>
      <c r="BE340" s="64"/>
      <c r="BF340" s="64"/>
      <c r="BG340" s="64"/>
      <c r="BH340" s="72"/>
      <c r="BI340" s="64">
        <v>16788121.983090475</v>
      </c>
      <c r="BJ340" s="64">
        <v>1515314.3848925564</v>
      </c>
      <c r="BK340" s="65">
        <v>50298.009527999995</v>
      </c>
      <c r="BL340" s="66">
        <v>1132244.7174070757</v>
      </c>
    </row>
    <row r="341" spans="1:64" x14ac:dyDescent="0.25">
      <c r="A341" s="141">
        <f t="shared" si="173"/>
        <v>323</v>
      </c>
      <c r="B341" s="142">
        <f t="shared" si="174"/>
        <v>135</v>
      </c>
      <c r="C341" s="62" t="s">
        <v>52</v>
      </c>
      <c r="D341" s="62" t="s">
        <v>699</v>
      </c>
      <c r="E341" s="123">
        <v>1975</v>
      </c>
      <c r="F341" s="123">
        <v>2013</v>
      </c>
      <c r="G341" s="123" t="s">
        <v>43</v>
      </c>
      <c r="H341" s="123">
        <v>4</v>
      </c>
      <c r="I341" s="123">
        <v>4</v>
      </c>
      <c r="J341" s="64">
        <v>2912.6</v>
      </c>
      <c r="K341" s="64">
        <v>2004.3</v>
      </c>
      <c r="L341" s="64">
        <v>902.2</v>
      </c>
      <c r="M341" s="124">
        <v>104</v>
      </c>
      <c r="N341" s="95">
        <f t="shared" si="126"/>
        <v>21780503.481325135</v>
      </c>
      <c r="O341" s="64"/>
      <c r="P341" s="65">
        <v>3770471.1300000004</v>
      </c>
      <c r="Q341" s="65"/>
      <c r="R341" s="65">
        <f t="shared" si="172"/>
        <v>2325190.8199999998</v>
      </c>
      <c r="S341" s="65">
        <f>+AS341</f>
        <v>13711320</v>
      </c>
      <c r="T341" s="65">
        <f>+'Приложение №2'!E350-'Приложение №1'!P341-'Приложение №1'!R341-'Приложение №1'!S341</f>
        <v>1973521.5313251354</v>
      </c>
      <c r="U341" s="64">
        <f t="shared" si="171"/>
        <v>7493.7221680113998</v>
      </c>
      <c r="V341" s="64">
        <f t="shared" si="171"/>
        <v>7493.7221680113998</v>
      </c>
      <c r="W341" s="126">
        <v>2023</v>
      </c>
      <c r="X341" s="127" t="e">
        <f>+#REF!-'[1]Приложение №1'!$P1015</f>
        <v>#REF!</v>
      </c>
      <c r="Z341" s="63">
        <f t="shared" ref="Z341:Z346" si="177">SUM(AA341:AO341)</f>
        <v>33480583.039703999</v>
      </c>
      <c r="AA341" s="64">
        <v>4910426.619134401</v>
      </c>
      <c r="AB341" s="64">
        <v>1749786.8763320402</v>
      </c>
      <c r="AC341" s="64">
        <v>1828137.9504292798</v>
      </c>
      <c r="AD341" s="64">
        <v>1144529.9445770402</v>
      </c>
      <c r="AE341" s="64">
        <v>818458.35</v>
      </c>
      <c r="AF341" s="64"/>
      <c r="AG341" s="64">
        <v>188426.51279339998</v>
      </c>
      <c r="AH341" s="64">
        <v>0</v>
      </c>
      <c r="AI341" s="64">
        <v>8977006.9994345997</v>
      </c>
      <c r="AJ341" s="64">
        <v>0</v>
      </c>
      <c r="AK341" s="64">
        <v>4660903.59852558</v>
      </c>
      <c r="AL341" s="64">
        <v>5027330.1025222801</v>
      </c>
      <c r="AM341" s="64">
        <v>3221989.0267999996</v>
      </c>
      <c r="AN341" s="65">
        <v>327170.53649999999</v>
      </c>
      <c r="AO341" s="66">
        <v>626416.52265538019</v>
      </c>
      <c r="AP341" s="128">
        <f>+N341-'Приложение №2'!E350</f>
        <v>0</v>
      </c>
      <c r="AQ341" s="23">
        <v>1936703.42</v>
      </c>
      <c r="AR341" s="25">
        <f t="shared" si="175"/>
        <v>388487.39999999997</v>
      </c>
      <c r="AS341" s="25">
        <f t="shared" si="176"/>
        <v>13711320</v>
      </c>
      <c r="AT341" s="127">
        <f t="shared" si="131"/>
        <v>0</v>
      </c>
      <c r="AU341" s="127">
        <f>+P341-'[6]Приложение №1'!$P315</f>
        <v>3770471.1300000004</v>
      </c>
      <c r="AV341" s="127">
        <f>+Q341-'[6]Приложение №1'!$Q315</f>
        <v>0</v>
      </c>
      <c r="AW341" s="63">
        <f t="shared" si="132"/>
        <v>21780503.481325135</v>
      </c>
      <c r="AX341" s="64">
        <v>6939356.6437431425</v>
      </c>
      <c r="AY341" s="64">
        <v>0</v>
      </c>
      <c r="AZ341" s="64">
        <v>0</v>
      </c>
      <c r="BA341" s="64">
        <v>0</v>
      </c>
      <c r="BB341" s="64">
        <v>818458.35</v>
      </c>
      <c r="BC341" s="64"/>
      <c r="BD341" s="64">
        <v>266268.26596902258</v>
      </c>
      <c r="BE341" s="64">
        <v>0</v>
      </c>
      <c r="BF341" s="64">
        <v>6490827.1100000003</v>
      </c>
      <c r="BG341" s="64">
        <v>0</v>
      </c>
      <c r="BH341" s="64">
        <v>0</v>
      </c>
      <c r="BI341" s="64">
        <v>7104547.2889906801</v>
      </c>
      <c r="BJ341" s="64"/>
      <c r="BK341" s="65"/>
      <c r="BL341" s="66">
        <v>161045.8226222918</v>
      </c>
    </row>
    <row r="342" spans="1:64" x14ac:dyDescent="0.25">
      <c r="A342" s="141">
        <f t="shared" si="173"/>
        <v>324</v>
      </c>
      <c r="B342" s="142">
        <f t="shared" si="174"/>
        <v>136</v>
      </c>
      <c r="C342" s="62" t="s">
        <v>52</v>
      </c>
      <c r="D342" s="62" t="s">
        <v>1096</v>
      </c>
      <c r="E342" s="123">
        <v>1994</v>
      </c>
      <c r="F342" s="123">
        <v>2013</v>
      </c>
      <c r="G342" s="123" t="s">
        <v>43</v>
      </c>
      <c r="H342" s="123">
        <v>4</v>
      </c>
      <c r="I342" s="123">
        <v>2</v>
      </c>
      <c r="J342" s="64">
        <v>1882.24</v>
      </c>
      <c r="K342" s="64">
        <v>1768.8</v>
      </c>
      <c r="L342" s="64">
        <v>0</v>
      </c>
      <c r="M342" s="124">
        <v>61</v>
      </c>
      <c r="N342" s="63">
        <f>SUM(O342:T342)</f>
        <v>1573497.0647</v>
      </c>
      <c r="O342" s="64"/>
      <c r="P342" s="65"/>
      <c r="Q342" s="65"/>
      <c r="R342" s="65">
        <f>+AQ342+AR342</f>
        <v>1167400.0699999998</v>
      </c>
      <c r="S342" s="65">
        <f>+'Приложение №2'!E351-'Приложение №1'!R342</f>
        <v>406096.99470000016</v>
      </c>
      <c r="T342" s="65">
        <v>0</v>
      </c>
      <c r="U342" s="65">
        <f>N342/K342</f>
        <v>889.58450062189058</v>
      </c>
      <c r="V342" s="65">
        <v>1315.2830200640001</v>
      </c>
      <c r="W342" s="126">
        <v>2023</v>
      </c>
      <c r="X342" s="127" t="e">
        <f>+#REF!-'[1]Приложение №1'!$P692</f>
        <v>#REF!</v>
      </c>
      <c r="Z342" s="63">
        <f>SUM(AA342:AO342)</f>
        <v>6275488.2600000007</v>
      </c>
      <c r="AA342" s="64">
        <v>0</v>
      </c>
      <c r="AB342" s="64">
        <v>0</v>
      </c>
      <c r="AC342" s="64">
        <v>1539824.2275154199</v>
      </c>
      <c r="AD342" s="64">
        <v>0</v>
      </c>
      <c r="AE342" s="64">
        <v>0</v>
      </c>
      <c r="AF342" s="64"/>
      <c r="AG342" s="64">
        <v>0</v>
      </c>
      <c r="AH342" s="64">
        <v>0</v>
      </c>
      <c r="AI342" s="64">
        <v>0</v>
      </c>
      <c r="AJ342" s="64">
        <v>0</v>
      </c>
      <c r="AK342" s="64">
        <v>3925837.3744846201</v>
      </c>
      <c r="AL342" s="64">
        <v>0</v>
      </c>
      <c r="AM342" s="64">
        <v>627548.82600000012</v>
      </c>
      <c r="AN342" s="65">
        <v>62754.882599999997</v>
      </c>
      <c r="AO342" s="66">
        <v>119522.94939995998</v>
      </c>
      <c r="AP342" s="128">
        <f>+N342-'Приложение №2'!E351</f>
        <v>0</v>
      </c>
      <c r="AQ342" s="23">
        <v>977961.59</v>
      </c>
      <c r="AR342" s="25">
        <f>+(K342*10.5+L342*21)*12*0.85</f>
        <v>189438.47999999998</v>
      </c>
      <c r="AS342" s="25">
        <f>+(K342*10.5+L342*21)*12*30</f>
        <v>6686064</v>
      </c>
      <c r="AT342" s="127">
        <f>+S342-AS342</f>
        <v>-6279967.0053000003</v>
      </c>
      <c r="AU342" s="127">
        <f>+P342-'[6]Приложение №1'!$P598</f>
        <v>0</v>
      </c>
      <c r="AV342" s="127">
        <f>+Q342-'[6]Приложение №1'!$Q598</f>
        <v>0</v>
      </c>
      <c r="AW342" s="88">
        <f t="shared" si="132"/>
        <v>1573497.0647</v>
      </c>
      <c r="AX342" s="64">
        <v>0</v>
      </c>
      <c r="AY342" s="64">
        <v>0</v>
      </c>
      <c r="AZ342" s="64">
        <v>1539824.2275154199</v>
      </c>
      <c r="BA342" s="64">
        <v>0</v>
      </c>
      <c r="BB342" s="64">
        <v>0</v>
      </c>
      <c r="BC342" s="64"/>
      <c r="BD342" s="64"/>
      <c r="BE342" s="64">
        <v>0</v>
      </c>
      <c r="BF342" s="64">
        <v>0</v>
      </c>
      <c r="BG342" s="64">
        <v>0</v>
      </c>
      <c r="BH342" s="64"/>
      <c r="BI342" s="64">
        <v>0</v>
      </c>
      <c r="BJ342" s="64"/>
      <c r="BK342" s="65"/>
      <c r="BL342" s="66">
        <v>33672.837184579999</v>
      </c>
    </row>
    <row r="343" spans="1:64" x14ac:dyDescent="0.25">
      <c r="A343" s="141">
        <f t="shared" si="173"/>
        <v>325</v>
      </c>
      <c r="B343" s="142">
        <f t="shared" si="174"/>
        <v>137</v>
      </c>
      <c r="C343" s="62" t="s">
        <v>52</v>
      </c>
      <c r="D343" s="62" t="s">
        <v>540</v>
      </c>
      <c r="E343" s="123">
        <v>1968</v>
      </c>
      <c r="F343" s="123">
        <v>2013</v>
      </c>
      <c r="G343" s="123" t="s">
        <v>43</v>
      </c>
      <c r="H343" s="123">
        <v>4</v>
      </c>
      <c r="I343" s="123">
        <v>2</v>
      </c>
      <c r="J343" s="64">
        <v>1340.1</v>
      </c>
      <c r="K343" s="64">
        <v>1250.0999999999999</v>
      </c>
      <c r="L343" s="64">
        <v>0</v>
      </c>
      <c r="M343" s="124">
        <v>47</v>
      </c>
      <c r="N343" s="95">
        <f t="shared" si="126"/>
        <v>494347.02341200004</v>
      </c>
      <c r="O343" s="64"/>
      <c r="P343" s="65"/>
      <c r="Q343" s="65"/>
      <c r="R343" s="65">
        <f>+'Приложение №2'!E352</f>
        <v>494347.02341200004</v>
      </c>
      <c r="S343" s="65">
        <f>+'Приложение №2'!E352-'Приложение №1'!R343</f>
        <v>0</v>
      </c>
      <c r="T343" s="65">
        <v>0</v>
      </c>
      <c r="U343" s="64">
        <f t="shared" si="171"/>
        <v>395.44598305095599</v>
      </c>
      <c r="V343" s="64">
        <f t="shared" si="171"/>
        <v>395.44598305095599</v>
      </c>
      <c r="W343" s="126">
        <v>2023</v>
      </c>
      <c r="X343" s="127" t="e">
        <f>+#REF!-'[1]Приложение №1'!$P696</f>
        <v>#REF!</v>
      </c>
      <c r="Z343" s="63">
        <f t="shared" si="177"/>
        <v>7345879.3544120006</v>
      </c>
      <c r="AA343" s="64">
        <v>0</v>
      </c>
      <c r="AB343" s="64">
        <v>0</v>
      </c>
      <c r="AC343" s="64">
        <v>0</v>
      </c>
      <c r="AD343" s="64">
        <v>0</v>
      </c>
      <c r="AE343" s="64">
        <v>491444.9</v>
      </c>
      <c r="AF343" s="64"/>
      <c r="AG343" s="64">
        <v>0</v>
      </c>
      <c r="AH343" s="64">
        <v>0</v>
      </c>
      <c r="AI343" s="64">
        <v>0</v>
      </c>
      <c r="AJ343" s="64">
        <v>0</v>
      </c>
      <c r="AK343" s="64">
        <v>2817572.53491042</v>
      </c>
      <c r="AL343" s="64">
        <v>3039081.7867057198</v>
      </c>
      <c r="AM343" s="64">
        <v>797894.04099999997</v>
      </c>
      <c r="AN343" s="65">
        <v>68910.799100000004</v>
      </c>
      <c r="AO343" s="66">
        <v>130975.29269586</v>
      </c>
      <c r="AP343" s="128">
        <f>+N343-'Приложение №2'!E352</f>
        <v>0</v>
      </c>
      <c r="AQ343" s="23">
        <v>547627.87</v>
      </c>
      <c r="AR343" s="25">
        <f t="shared" si="175"/>
        <v>127510.2</v>
      </c>
      <c r="AS343" s="25">
        <f t="shared" si="176"/>
        <v>4500360</v>
      </c>
      <c r="AT343" s="127">
        <f t="shared" si="131"/>
        <v>-4500360</v>
      </c>
      <c r="AU343" s="127">
        <f>+P343-'[6]Приложение №1'!$P316</f>
        <v>0</v>
      </c>
      <c r="AV343" s="127">
        <f>+Q343-'[6]Приложение №1'!$Q316</f>
        <v>0</v>
      </c>
      <c r="AW343" s="63">
        <f t="shared" si="132"/>
        <v>494347.02341200004</v>
      </c>
      <c r="AX343" s="64">
        <v>0</v>
      </c>
      <c r="AY343" s="64">
        <v>0</v>
      </c>
      <c r="AZ343" s="64">
        <v>0</v>
      </c>
      <c r="BA343" s="64">
        <v>0</v>
      </c>
      <c r="BB343" s="64">
        <v>491444.89900000003</v>
      </c>
      <c r="BC343" s="64"/>
      <c r="BD343" s="64"/>
      <c r="BE343" s="64">
        <v>0</v>
      </c>
      <c r="BF343" s="64">
        <v>0</v>
      </c>
      <c r="BG343" s="64">
        <v>0</v>
      </c>
      <c r="BH343" s="64"/>
      <c r="BI343" s="64"/>
      <c r="BJ343" s="64"/>
      <c r="BK343" s="65"/>
      <c r="BL343" s="66">
        <v>2902.1244119999997</v>
      </c>
    </row>
    <row r="344" spans="1:64" x14ac:dyDescent="0.25">
      <c r="A344" s="141">
        <f t="shared" si="173"/>
        <v>326</v>
      </c>
      <c r="B344" s="142">
        <f t="shared" si="174"/>
        <v>138</v>
      </c>
      <c r="C344" s="62" t="s">
        <v>52</v>
      </c>
      <c r="D344" s="62" t="s">
        <v>1097</v>
      </c>
      <c r="E344" s="123">
        <v>1984</v>
      </c>
      <c r="F344" s="123">
        <v>1984</v>
      </c>
      <c r="G344" s="123" t="s">
        <v>43</v>
      </c>
      <c r="H344" s="123">
        <v>5</v>
      </c>
      <c r="I344" s="123">
        <v>6</v>
      </c>
      <c r="J344" s="64">
        <v>7096.75</v>
      </c>
      <c r="K344" s="64">
        <v>6228.7</v>
      </c>
      <c r="L344" s="64">
        <v>0</v>
      </c>
      <c r="M344" s="124">
        <v>298</v>
      </c>
      <c r="N344" s="95">
        <f t="shared" si="126"/>
        <v>16015618.41</v>
      </c>
      <c r="O344" s="64"/>
      <c r="P344" s="65"/>
      <c r="Q344" s="65"/>
      <c r="R344" s="65">
        <f t="shared" ref="R344:R350" si="178">+AQ344+AR344</f>
        <v>3618454.07</v>
      </c>
      <c r="S344" s="65">
        <f>+'Приложение №2'!E353-'Приложение №1'!R344</f>
        <v>12397164.34</v>
      </c>
      <c r="T344" s="65">
        <v>4.6566128730773926E-10</v>
      </c>
      <c r="U344" s="64">
        <f t="shared" si="171"/>
        <v>2571.2618058342832</v>
      </c>
      <c r="V344" s="64">
        <f t="shared" si="171"/>
        <v>2571.2618058342832</v>
      </c>
      <c r="W344" s="126">
        <v>2023</v>
      </c>
      <c r="X344" s="127" t="e">
        <f>+#REF!-'[1]Приложение №1'!$P1099</f>
        <v>#REF!</v>
      </c>
      <c r="Z344" s="63">
        <f t="shared" si="177"/>
        <v>16247767.73</v>
      </c>
      <c r="AA344" s="64">
        <v>0</v>
      </c>
      <c r="AB344" s="64">
        <v>0</v>
      </c>
      <c r="AC344" s="64">
        <v>0</v>
      </c>
      <c r="AD344" s="64">
        <v>0</v>
      </c>
      <c r="AE344" s="64">
        <v>0</v>
      </c>
      <c r="AF344" s="64"/>
      <c r="AG344" s="64">
        <v>0</v>
      </c>
      <c r="AH344" s="64">
        <v>0</v>
      </c>
      <c r="AI344" s="64">
        <v>0</v>
      </c>
      <c r="AJ344" s="64">
        <v>0</v>
      </c>
      <c r="AK344" s="64">
        <v>0</v>
      </c>
      <c r="AL344" s="64">
        <v>14151058.29551442</v>
      </c>
      <c r="AM344" s="64">
        <v>1624776.773</v>
      </c>
      <c r="AN344" s="65">
        <v>162477.67730000001</v>
      </c>
      <c r="AO344" s="66">
        <v>309454.98418557999</v>
      </c>
      <c r="AP344" s="128">
        <f>+N344-'Приложение №2'!E353</f>
        <v>0</v>
      </c>
      <c r="AQ344" s="23">
        <v>2983126.67</v>
      </c>
      <c r="AR344" s="25">
        <f t="shared" si="175"/>
        <v>635327.4</v>
      </c>
      <c r="AS344" s="25">
        <f t="shared" si="176"/>
        <v>22423320</v>
      </c>
      <c r="AT344" s="127">
        <f t="shared" si="131"/>
        <v>-10026155.66</v>
      </c>
      <c r="AU344" s="127">
        <f>+P344-'[6]Приложение №1'!$P318</f>
        <v>-5099328.6800000006</v>
      </c>
      <c r="AV344" s="127">
        <f>+Q344-'[6]Приложение №1'!$Q318</f>
        <v>0</v>
      </c>
      <c r="AW344" s="63">
        <f t="shared" si="132"/>
        <v>16015618.41</v>
      </c>
      <c r="AX344" s="64">
        <v>0</v>
      </c>
      <c r="AY344" s="64">
        <v>0</v>
      </c>
      <c r="AZ344" s="64">
        <v>0</v>
      </c>
      <c r="BA344" s="64">
        <v>0</v>
      </c>
      <c r="BB344" s="64">
        <v>0</v>
      </c>
      <c r="BC344" s="64"/>
      <c r="BD344" s="64"/>
      <c r="BE344" s="64">
        <v>0</v>
      </c>
      <c r="BF344" s="64">
        <v>0</v>
      </c>
      <c r="BG344" s="64">
        <v>0</v>
      </c>
      <c r="BH344" s="64">
        <v>0</v>
      </c>
      <c r="BI344" s="64">
        <v>15672884.176026</v>
      </c>
      <c r="BJ344" s="64"/>
      <c r="BK344" s="65"/>
      <c r="BL344" s="66">
        <v>342734.23397399997</v>
      </c>
    </row>
    <row r="345" spans="1:64" x14ac:dyDescent="0.25">
      <c r="A345" s="141">
        <f t="shared" si="173"/>
        <v>327</v>
      </c>
      <c r="B345" s="142">
        <f t="shared" si="174"/>
        <v>139</v>
      </c>
      <c r="C345" s="62" t="s">
        <v>52</v>
      </c>
      <c r="D345" s="62" t="s">
        <v>1098</v>
      </c>
      <c r="E345" s="123">
        <v>1973</v>
      </c>
      <c r="F345" s="123">
        <v>2011</v>
      </c>
      <c r="G345" s="123" t="s">
        <v>43</v>
      </c>
      <c r="H345" s="123">
        <v>5</v>
      </c>
      <c r="I345" s="123">
        <v>4</v>
      </c>
      <c r="J345" s="64">
        <v>3343.7</v>
      </c>
      <c r="K345" s="64">
        <v>3061.9</v>
      </c>
      <c r="L345" s="64">
        <v>0</v>
      </c>
      <c r="M345" s="124">
        <v>160</v>
      </c>
      <c r="N345" s="95">
        <f t="shared" si="126"/>
        <v>16196844.685650662</v>
      </c>
      <c r="O345" s="64"/>
      <c r="P345" s="65">
        <v>614563.23999999987</v>
      </c>
      <c r="Q345" s="65"/>
      <c r="R345" s="65">
        <v>1696801.81</v>
      </c>
      <c r="S345" s="65">
        <v>5078289.1099999994</v>
      </c>
      <c r="T345" s="65">
        <f>+'Приложение №2'!E354-'Приложение №1'!P345-'Приложение №1'!R345-'Приложение №1'!S345</f>
        <v>8807190.5256506614</v>
      </c>
      <c r="U345" s="64">
        <f t="shared" si="171"/>
        <v>5289.8019810087399</v>
      </c>
      <c r="V345" s="64">
        <f t="shared" si="171"/>
        <v>5289.8019810087399</v>
      </c>
      <c r="W345" s="126">
        <v>2023</v>
      </c>
      <c r="X345" s="127" t="e">
        <f>+#REF!-'[1]Приложение №1'!$P900</f>
        <v>#REF!</v>
      </c>
      <c r="Z345" s="63">
        <f t="shared" si="177"/>
        <v>26291754.259999998</v>
      </c>
      <c r="AA345" s="64">
        <v>0</v>
      </c>
      <c r="AB345" s="64">
        <v>0</v>
      </c>
      <c r="AC345" s="64">
        <v>2724296.2008204604</v>
      </c>
      <c r="AD345" s="64">
        <v>0</v>
      </c>
      <c r="AE345" s="64">
        <v>0</v>
      </c>
      <c r="AF345" s="64"/>
      <c r="AG345" s="64">
        <v>0</v>
      </c>
      <c r="AH345" s="64">
        <v>0</v>
      </c>
      <c r="AI345" s="64">
        <v>13377560.538169799</v>
      </c>
      <c r="AJ345" s="64">
        <v>0</v>
      </c>
      <c r="AK345" s="64">
        <v>6945691.3623090005</v>
      </c>
      <c r="AL345" s="64">
        <v>0</v>
      </c>
      <c r="AM345" s="64">
        <v>2477285.4183</v>
      </c>
      <c r="AN345" s="65">
        <v>262917.54259999999</v>
      </c>
      <c r="AO345" s="66">
        <v>504003.19780074002</v>
      </c>
      <c r="AP345" s="128">
        <f>+N345-'Приложение №2'!E354</f>
        <v>0</v>
      </c>
      <c r="AQ345" s="23">
        <v>1384488.01</v>
      </c>
      <c r="AR345" s="25">
        <f t="shared" si="175"/>
        <v>312313.8</v>
      </c>
      <c r="AS345" s="25">
        <f t="shared" si="176"/>
        <v>11022840</v>
      </c>
      <c r="AT345" s="127">
        <f t="shared" si="131"/>
        <v>-5944550.8900000006</v>
      </c>
      <c r="AU345" s="127">
        <f>+P345-'[6]Приложение №1'!$P319</f>
        <v>0</v>
      </c>
      <c r="AV345" s="127">
        <f>+Q345-'[6]Приложение №1'!$Q319</f>
        <v>0</v>
      </c>
      <c r="AW345" s="63">
        <f t="shared" si="132"/>
        <v>16196844.685650662</v>
      </c>
      <c r="AX345" s="64">
        <v>0</v>
      </c>
      <c r="AY345" s="64">
        <v>0</v>
      </c>
      <c r="AZ345" s="64">
        <v>2724296.2008204604</v>
      </c>
      <c r="BA345" s="64">
        <v>0</v>
      </c>
      <c r="BB345" s="64">
        <v>0</v>
      </c>
      <c r="BC345" s="64"/>
      <c r="BD345" s="64"/>
      <c r="BE345" s="64">
        <v>0</v>
      </c>
      <c r="BF345" s="64">
        <v>13180008.33</v>
      </c>
      <c r="BG345" s="64">
        <v>0</v>
      </c>
      <c r="BH345" s="64"/>
      <c r="BI345" s="64">
        <v>0</v>
      </c>
      <c r="BJ345" s="64"/>
      <c r="BK345" s="65"/>
      <c r="BL345" s="66">
        <v>292540.15483020002</v>
      </c>
    </row>
    <row r="346" spans="1:64" x14ac:dyDescent="0.25">
      <c r="A346" s="141">
        <f t="shared" si="173"/>
        <v>328</v>
      </c>
      <c r="B346" s="142">
        <f t="shared" si="174"/>
        <v>140</v>
      </c>
      <c r="C346" s="62" t="s">
        <v>52</v>
      </c>
      <c r="D346" s="62" t="s">
        <v>726</v>
      </c>
      <c r="E346" s="123">
        <v>1971</v>
      </c>
      <c r="F346" s="123">
        <v>2013</v>
      </c>
      <c r="G346" s="123" t="s">
        <v>43</v>
      </c>
      <c r="H346" s="123">
        <v>4</v>
      </c>
      <c r="I346" s="123">
        <v>4</v>
      </c>
      <c r="J346" s="64">
        <v>3003.8</v>
      </c>
      <c r="K346" s="64">
        <v>2693.7</v>
      </c>
      <c r="L346" s="64">
        <v>0</v>
      </c>
      <c r="M346" s="124">
        <v>120</v>
      </c>
      <c r="N346" s="95">
        <f t="shared" si="126"/>
        <v>10273843.44167906</v>
      </c>
      <c r="O346" s="64"/>
      <c r="P346" s="65">
        <v>0</v>
      </c>
      <c r="Q346" s="65"/>
      <c r="R346" s="65">
        <v>247704.3</v>
      </c>
      <c r="S346" s="65">
        <v>6351598.3700000001</v>
      </c>
      <c r="T346" s="65">
        <f>+'Приложение №2'!E355-'Приложение №1'!P346-'Приложение №1'!R346-'Приложение №1'!S346</f>
        <v>3674540.7716790596</v>
      </c>
      <c r="U346" s="64">
        <f t="shared" si="171"/>
        <v>3814.0265960125703</v>
      </c>
      <c r="V346" s="64">
        <f t="shared" si="171"/>
        <v>3814.0265960125703</v>
      </c>
      <c r="W346" s="126">
        <v>2023</v>
      </c>
      <c r="X346" s="127" t="e">
        <f>+#REF!-'[1]Приложение №1'!$P701</f>
        <v>#REF!</v>
      </c>
      <c r="Z346" s="63">
        <f t="shared" si="177"/>
        <v>21441082.737894002</v>
      </c>
      <c r="AA346" s="64">
        <v>0</v>
      </c>
      <c r="AB346" s="64">
        <v>2296919.6304310197</v>
      </c>
      <c r="AC346" s="64">
        <v>2399769.9437850602</v>
      </c>
      <c r="AD346" s="64">
        <v>0</v>
      </c>
      <c r="AE346" s="64">
        <v>1020388.92</v>
      </c>
      <c r="AF346" s="64"/>
      <c r="AG346" s="64">
        <v>247344.72404292002</v>
      </c>
      <c r="AH346" s="64">
        <v>0</v>
      </c>
      <c r="AI346" s="64">
        <v>0</v>
      </c>
      <c r="AJ346" s="64">
        <v>0</v>
      </c>
      <c r="AK346" s="64">
        <v>6118299.9556223992</v>
      </c>
      <c r="AL346" s="64">
        <v>6599302.6705422606</v>
      </c>
      <c r="AM346" s="64">
        <v>2162864.8599</v>
      </c>
      <c r="AN346" s="65">
        <v>205857.47699999998</v>
      </c>
      <c r="AO346" s="66">
        <v>390334.55657033995</v>
      </c>
      <c r="AP346" s="128">
        <f>+N346-'Приложение №2'!E355</f>
        <v>0</v>
      </c>
      <c r="AQ346" s="23">
        <f>1245150.45-129665.9434</f>
        <v>1115484.5066</v>
      </c>
      <c r="AR346" s="25">
        <f t="shared" si="175"/>
        <v>274757.39999999997</v>
      </c>
      <c r="AS346" s="25">
        <f>+(K346*10+L346*20)*12*30-552777.2166</f>
        <v>9144542.7833999991</v>
      </c>
      <c r="AT346" s="127">
        <f t="shared" si="131"/>
        <v>-2792944.413399999</v>
      </c>
      <c r="AU346" s="127">
        <f>+P346-'[6]Приложение №1'!$P321</f>
        <v>0</v>
      </c>
      <c r="AV346" s="127">
        <f>+Q346-'[6]Приложение №1'!$Q321</f>
        <v>0</v>
      </c>
      <c r="AW346" s="63">
        <f t="shared" si="132"/>
        <v>10273843.44167906</v>
      </c>
      <c r="AX346" s="64"/>
      <c r="AY346" s="64"/>
      <c r="AZ346" s="64">
        <v>2399769.9437850602</v>
      </c>
      <c r="BA346" s="64">
        <v>0</v>
      </c>
      <c r="BB346" s="64">
        <v>1020388.92</v>
      </c>
      <c r="BC346" s="64"/>
      <c r="BD346" s="64"/>
      <c r="BE346" s="64"/>
      <c r="BF346" s="64"/>
      <c r="BG346" s="64"/>
      <c r="BH346" s="64"/>
      <c r="BI346" s="64">
        <v>6849574.25</v>
      </c>
      <c r="BJ346" s="64"/>
      <c r="BK346" s="65"/>
      <c r="BL346" s="66">
        <v>4110.327894</v>
      </c>
    </row>
    <row r="347" spans="1:64" s="74" customFormat="1" x14ac:dyDescent="0.25">
      <c r="A347" s="141">
        <f t="shared" si="173"/>
        <v>329</v>
      </c>
      <c r="B347" s="142">
        <f t="shared" si="174"/>
        <v>141</v>
      </c>
      <c r="C347" s="62" t="s">
        <v>52</v>
      </c>
      <c r="D347" s="62" t="s">
        <v>727</v>
      </c>
      <c r="E347" s="123" t="s">
        <v>117</v>
      </c>
      <c r="F347" s="123"/>
      <c r="G347" s="123" t="s">
        <v>43</v>
      </c>
      <c r="H347" s="123" t="s">
        <v>105</v>
      </c>
      <c r="I347" s="123" t="s">
        <v>105</v>
      </c>
      <c r="J347" s="64">
        <v>2630.5</v>
      </c>
      <c r="K347" s="64">
        <v>2361.1</v>
      </c>
      <c r="L347" s="64">
        <v>37.5</v>
      </c>
      <c r="M347" s="124">
        <v>122</v>
      </c>
      <c r="N347" s="95">
        <f t="shared" ref="N347:N426" si="179">+P347+Q347+R347+S347+T347</f>
        <v>11931064.43</v>
      </c>
      <c r="O347" s="64">
        <v>0</v>
      </c>
      <c r="P347" s="65">
        <f>+'Приложение №2'!E356-'Приложение №1'!R347-'Приложение №1'!S347</f>
        <v>1780478.1500000004</v>
      </c>
      <c r="Q347" s="65">
        <v>0</v>
      </c>
      <c r="R347" s="65">
        <f t="shared" si="178"/>
        <v>1380626.28</v>
      </c>
      <c r="S347" s="65">
        <f>+AS347</f>
        <v>8769960</v>
      </c>
      <c r="T347" s="65">
        <v>0</v>
      </c>
      <c r="U347" s="64">
        <f t="shared" si="171"/>
        <v>4974.1784499291252</v>
      </c>
      <c r="V347" s="64">
        <f t="shared" si="171"/>
        <v>4974.1784499291252</v>
      </c>
      <c r="W347" s="126">
        <v>2023</v>
      </c>
      <c r="X347" s="74">
        <v>898574.26</v>
      </c>
      <c r="Y347" s="74">
        <f>+(K347*9.1+L347*18.19)*12</f>
        <v>266017.62</v>
      </c>
      <c r="AA347" s="129">
        <f>+N347-'[5]Приложение № 2'!E305</f>
        <v>-13837459.350000001</v>
      </c>
      <c r="AD347" s="129">
        <f>+N347-'[5]Приложение № 2'!E305</f>
        <v>-13837459.350000001</v>
      </c>
      <c r="AP347" s="128">
        <f>+N347-'Приложение №2'!E356</f>
        <v>0</v>
      </c>
      <c r="AQ347" s="74">
        <v>1132144.08</v>
      </c>
      <c r="AR347" s="25">
        <f t="shared" si="175"/>
        <v>248482.19999999998</v>
      </c>
      <c r="AS347" s="25">
        <f>+(K347*10+L347*20)*12*30</f>
        <v>8769960</v>
      </c>
      <c r="AT347" s="127">
        <f t="shared" si="131"/>
        <v>0</v>
      </c>
      <c r="AU347" s="127">
        <f>+P347-'[6]Приложение №1'!$P322</f>
        <v>0</v>
      </c>
      <c r="AV347" s="127">
        <f>+Q347-'[6]Приложение №1'!$Q322</f>
        <v>0</v>
      </c>
      <c r="AW347" s="63">
        <f t="shared" si="132"/>
        <v>11931064.43</v>
      </c>
      <c r="AX347" s="64"/>
      <c r="AY347" s="64"/>
      <c r="AZ347" s="64"/>
      <c r="BA347" s="64"/>
      <c r="BB347" s="64"/>
      <c r="BC347" s="64"/>
      <c r="BD347" s="64"/>
      <c r="BE347" s="64"/>
      <c r="BF347" s="64">
        <v>11429694.42415854</v>
      </c>
      <c r="BG347" s="64"/>
      <c r="BH347" s="64"/>
      <c r="BI347" s="64"/>
      <c r="BJ347" s="64">
        <v>227425.73782900031</v>
      </c>
      <c r="BK347" s="65">
        <v>24000</v>
      </c>
      <c r="BL347" s="66">
        <v>249944.26801245942</v>
      </c>
    </row>
    <row r="348" spans="1:64" s="74" customFormat="1" x14ac:dyDescent="0.25">
      <c r="A348" s="141">
        <f t="shared" si="173"/>
        <v>330</v>
      </c>
      <c r="B348" s="142">
        <f t="shared" si="174"/>
        <v>142</v>
      </c>
      <c r="C348" s="62" t="s">
        <v>94</v>
      </c>
      <c r="D348" s="62" t="s">
        <v>760</v>
      </c>
      <c r="E348" s="123" t="s">
        <v>116</v>
      </c>
      <c r="F348" s="123"/>
      <c r="G348" s="123" t="s">
        <v>43</v>
      </c>
      <c r="H348" s="123" t="s">
        <v>105</v>
      </c>
      <c r="I348" s="123" t="s">
        <v>101</v>
      </c>
      <c r="J348" s="64">
        <v>3411.7</v>
      </c>
      <c r="K348" s="64">
        <v>2190.6999999999998</v>
      </c>
      <c r="L348" s="64">
        <v>1221</v>
      </c>
      <c r="M348" s="124">
        <v>86</v>
      </c>
      <c r="N348" s="63">
        <f t="shared" ref="N348:N351" si="180">SUM(O348:T348)</f>
        <v>32753020.393048249</v>
      </c>
      <c r="O348" s="64">
        <v>0</v>
      </c>
      <c r="P348" s="65">
        <v>2289017.7999999998</v>
      </c>
      <c r="Q348" s="65">
        <v>0</v>
      </c>
      <c r="R348" s="65">
        <f t="shared" si="178"/>
        <v>3388485.79</v>
      </c>
      <c r="S348" s="65">
        <f>+AS348</f>
        <v>17511606</v>
      </c>
      <c r="T348" s="65">
        <f>+'Приложение №2'!E357-'Приложение №1'!P348-'Приложение №1'!R348-'Приложение №1'!S348</f>
        <v>9563910.8030482493</v>
      </c>
      <c r="U348" s="65">
        <f t="shared" ref="U348:U351" si="181">N348/K348</f>
        <v>14950.938235745767</v>
      </c>
      <c r="V348" s="65">
        <v>1322.2830200640001</v>
      </c>
      <c r="W348" s="126">
        <v>2023</v>
      </c>
      <c r="X348" s="74">
        <v>1858783.44</v>
      </c>
      <c r="Y348" s="74">
        <f>+(K348*9.1+L348*18.19)*12</f>
        <v>505744.32</v>
      </c>
      <c r="AA348" s="129">
        <f>+N348-'[5]Приложение № 2'!E309</f>
        <v>31436188.793048248</v>
      </c>
      <c r="AD348" s="129">
        <f>+N348-'[5]Приложение № 2'!E309</f>
        <v>31436188.793048248</v>
      </c>
      <c r="AP348" s="128">
        <f>+N348-'Приложение №2'!E357</f>
        <v>0</v>
      </c>
      <c r="AQ348" s="38">
        <v>2892323.62</v>
      </c>
      <c r="AR348" s="25">
        <f t="shared" ref="AR348:AR351" si="182">+(K348*10.5+L348*21)*12*0.85</f>
        <v>496162.16999999993</v>
      </c>
      <c r="AS348" s="25">
        <f t="shared" ref="AS348:AS351" si="183">+(K348*10.5+L348*21)*12*30</f>
        <v>17511606</v>
      </c>
      <c r="AT348" s="127">
        <f t="shared" si="131"/>
        <v>0</v>
      </c>
      <c r="AU348" s="127">
        <f>+P348-'[6]Приложение №1'!$P344</f>
        <v>133767.25000000047</v>
      </c>
      <c r="AV348" s="127">
        <f>+Q348-'[6]Приложение №1'!$Q344</f>
        <v>0</v>
      </c>
      <c r="AW348" s="88">
        <f t="shared" si="132"/>
        <v>32753020.393048249</v>
      </c>
      <c r="AX348" s="64">
        <v>8145536.9211967923</v>
      </c>
      <c r="AY348" s="64"/>
      <c r="AZ348" s="64">
        <v>3032559.0353824017</v>
      </c>
      <c r="BA348" s="64"/>
      <c r="BB348" s="64"/>
      <c r="BC348" s="64"/>
      <c r="BD348" s="64">
        <v>312550.29864321835</v>
      </c>
      <c r="BE348" s="64">
        <v>0</v>
      </c>
      <c r="BF348" s="64">
        <v>0</v>
      </c>
      <c r="BG348" s="64">
        <v>0</v>
      </c>
      <c r="BH348" s="64">
        <v>7731612.436627632</v>
      </c>
      <c r="BI348" s="64">
        <v>8339440.559383967</v>
      </c>
      <c r="BJ348" s="64">
        <v>4071050.8610671004</v>
      </c>
      <c r="BK348" s="65">
        <v>387157.94560827821</v>
      </c>
      <c r="BL348" s="66">
        <v>733112.33513886225</v>
      </c>
    </row>
    <row r="349" spans="1:64" s="74" customFormat="1" x14ac:dyDescent="0.25">
      <c r="A349" s="141">
        <f t="shared" si="173"/>
        <v>331</v>
      </c>
      <c r="B349" s="142">
        <f t="shared" si="174"/>
        <v>143</v>
      </c>
      <c r="C349" s="62" t="s">
        <v>94</v>
      </c>
      <c r="D349" s="62" t="s">
        <v>761</v>
      </c>
      <c r="E349" s="123" t="s">
        <v>117</v>
      </c>
      <c r="F349" s="123"/>
      <c r="G349" s="123" t="s">
        <v>43</v>
      </c>
      <c r="H349" s="123" t="s">
        <v>105</v>
      </c>
      <c r="I349" s="123" t="s">
        <v>100</v>
      </c>
      <c r="J349" s="64">
        <v>5051.1899999999996</v>
      </c>
      <c r="K349" s="64">
        <v>4630.8</v>
      </c>
      <c r="L349" s="64">
        <v>0</v>
      </c>
      <c r="M349" s="124">
        <v>233</v>
      </c>
      <c r="N349" s="63">
        <f t="shared" si="180"/>
        <v>46001190.044842325</v>
      </c>
      <c r="O349" s="64">
        <v>0</v>
      </c>
      <c r="P349" s="65">
        <v>2659251.3400000003</v>
      </c>
      <c r="Q349" s="65">
        <v>0</v>
      </c>
      <c r="R349" s="65">
        <f t="shared" si="178"/>
        <v>3321595.2</v>
      </c>
      <c r="S349" s="65">
        <f>+AS349</f>
        <v>17504424</v>
      </c>
      <c r="T349" s="65">
        <f>+'Приложение №2'!E358-'Приложение №1'!P349-'Приложение №1'!R349-'Приложение №1'!S349</f>
        <v>22515919.504842326</v>
      </c>
      <c r="U349" s="65">
        <f t="shared" si="181"/>
        <v>9933.7457987480175</v>
      </c>
      <c r="V349" s="65">
        <v>1323.2830200640001</v>
      </c>
      <c r="W349" s="126">
        <v>2023</v>
      </c>
      <c r="X349" s="74">
        <v>1795085.95</v>
      </c>
      <c r="Y349" s="74">
        <f>+(K349*9.1+L349*18.19)*12</f>
        <v>505683.36</v>
      </c>
      <c r="AA349" s="129">
        <f>+N349-'[5]Приложение № 2'!E308</f>
        <v>41155800.704842322</v>
      </c>
      <c r="AD349" s="129">
        <f>+N349-'[5]Приложение № 2'!E308</f>
        <v>41155800.704842322</v>
      </c>
      <c r="AP349" s="128">
        <f>+N349-'Приложение №2'!E358</f>
        <v>0</v>
      </c>
      <c r="AQ349" s="38">
        <v>2825636.52</v>
      </c>
      <c r="AR349" s="25">
        <f t="shared" si="182"/>
        <v>495958.68000000005</v>
      </c>
      <c r="AS349" s="25">
        <f t="shared" si="183"/>
        <v>17504424</v>
      </c>
      <c r="AT349" s="127">
        <f t="shared" si="131"/>
        <v>0</v>
      </c>
      <c r="AU349" s="127">
        <f>+P349-'[6]Приложение №1'!$P343</f>
        <v>2659251.3400000003</v>
      </c>
      <c r="AV349" s="127">
        <f>+Q349-'[6]Приложение №1'!$Q343</f>
        <v>0</v>
      </c>
      <c r="AW349" s="88">
        <f t="shared" si="132"/>
        <v>46001190.044842333</v>
      </c>
      <c r="AX349" s="64"/>
      <c r="AY349" s="64"/>
      <c r="AZ349" s="64">
        <v>4497893.3018872356</v>
      </c>
      <c r="BA349" s="64"/>
      <c r="BB349" s="64"/>
      <c r="BC349" s="64"/>
      <c r="BD349" s="64"/>
      <c r="BE349" s="64"/>
      <c r="BF349" s="64">
        <v>21981498.489577852</v>
      </c>
      <c r="BG349" s="64"/>
      <c r="BH349" s="64"/>
      <c r="BI349" s="64">
        <v>12368954.783286048</v>
      </c>
      <c r="BJ349" s="64">
        <v>5496977.6636125278</v>
      </c>
      <c r="BK349" s="65">
        <v>568685.02805103827</v>
      </c>
      <c r="BL349" s="66">
        <v>1087180.7784276213</v>
      </c>
    </row>
    <row r="350" spans="1:64" x14ac:dyDescent="0.25">
      <c r="A350" s="141">
        <f t="shared" si="173"/>
        <v>332</v>
      </c>
      <c r="B350" s="142">
        <f t="shared" si="174"/>
        <v>144</v>
      </c>
      <c r="C350" s="62" t="s">
        <v>52</v>
      </c>
      <c r="D350" s="62" t="s">
        <v>701</v>
      </c>
      <c r="E350" s="123">
        <v>1966</v>
      </c>
      <c r="F350" s="123">
        <v>2013</v>
      </c>
      <c r="G350" s="123" t="s">
        <v>43</v>
      </c>
      <c r="H350" s="123">
        <v>4</v>
      </c>
      <c r="I350" s="123">
        <v>6</v>
      </c>
      <c r="J350" s="64">
        <v>2829.5</v>
      </c>
      <c r="K350" s="64">
        <v>2537.8000000000002</v>
      </c>
      <c r="L350" s="64">
        <v>230.6</v>
      </c>
      <c r="M350" s="124">
        <v>144</v>
      </c>
      <c r="N350" s="63">
        <f t="shared" si="180"/>
        <v>23317560.428327233</v>
      </c>
      <c r="O350" s="64"/>
      <c r="P350" s="65">
        <v>942478.5918385</v>
      </c>
      <c r="Q350" s="65"/>
      <c r="R350" s="65">
        <f t="shared" si="178"/>
        <v>1953600.41</v>
      </c>
      <c r="S350" s="65">
        <f>+AS350</f>
        <v>11336220</v>
      </c>
      <c r="T350" s="65">
        <f>+'Приложение №2'!E359-'Приложение №1'!P350-'Приложение №1'!R350-'Приложение №1'!S350</f>
        <v>9085261.4264887348</v>
      </c>
      <c r="U350" s="65">
        <f t="shared" si="181"/>
        <v>9188.1000978513803</v>
      </c>
      <c r="V350" s="65">
        <v>1324.2830200640001</v>
      </c>
      <c r="W350" s="126">
        <v>2023</v>
      </c>
      <c r="X350" s="127" t="e">
        <f>+#REF!-'[1]Приложение №1'!$P1642</f>
        <v>#REF!</v>
      </c>
      <c r="Z350" s="63">
        <f>SUM(AA350:AO350)</f>
        <v>15087934.029999999</v>
      </c>
      <c r="AA350" s="64">
        <v>6065034.6402882598</v>
      </c>
      <c r="AB350" s="64">
        <v>2161221.1824524999</v>
      </c>
      <c r="AC350" s="64">
        <v>2257995.2503873804</v>
      </c>
      <c r="AD350" s="64">
        <v>1413647.7960217199</v>
      </c>
      <c r="AE350" s="64">
        <v>864921.32273358025</v>
      </c>
      <c r="AF350" s="64"/>
      <c r="AG350" s="64">
        <v>232731.98563608</v>
      </c>
      <c r="AH350" s="64">
        <v>0</v>
      </c>
      <c r="AI350" s="64">
        <v>0</v>
      </c>
      <c r="AJ350" s="64">
        <v>0</v>
      </c>
      <c r="AK350" s="64">
        <v>0</v>
      </c>
      <c r="AL350" s="64">
        <v>0</v>
      </c>
      <c r="AM350" s="64">
        <v>1657316.1065</v>
      </c>
      <c r="AN350" s="65">
        <v>150879.34030000001</v>
      </c>
      <c r="AO350" s="66">
        <v>284186.40568048006</v>
      </c>
      <c r="AP350" s="128">
        <f>+N350-'Приложение №2'!E359</f>
        <v>0</v>
      </c>
      <c r="AQ350" s="67">
        <v>1632407.51</v>
      </c>
      <c r="AR350" s="25">
        <f t="shared" si="182"/>
        <v>321192.89999999997</v>
      </c>
      <c r="AS350" s="25">
        <f t="shared" si="183"/>
        <v>11336220</v>
      </c>
      <c r="AT350" s="127">
        <f t="shared" si="131"/>
        <v>0</v>
      </c>
      <c r="AU350" s="127"/>
      <c r="AV350" s="127"/>
      <c r="AW350" s="88">
        <f t="shared" si="132"/>
        <v>23317560.428327236</v>
      </c>
      <c r="AX350" s="64"/>
      <c r="AY350" s="64"/>
      <c r="AZ350" s="64"/>
      <c r="BA350" s="64"/>
      <c r="BB350" s="64"/>
      <c r="BC350" s="64"/>
      <c r="BD350" s="64"/>
      <c r="BE350" s="64"/>
      <c r="BF350" s="64">
        <v>12083403.596964777</v>
      </c>
      <c r="BG350" s="64">
        <v>0</v>
      </c>
      <c r="BH350" s="64"/>
      <c r="BI350" s="64">
        <v>7268144.6399999997</v>
      </c>
      <c r="BJ350" s="64">
        <v>2732058.4400660531</v>
      </c>
      <c r="BK350" s="65">
        <v>286925.44751838496</v>
      </c>
      <c r="BL350" s="66">
        <v>947028.30377802055</v>
      </c>
    </row>
    <row r="351" spans="1:64" s="74" customFormat="1" x14ac:dyDescent="0.25">
      <c r="A351" s="141">
        <f t="shared" si="173"/>
        <v>333</v>
      </c>
      <c r="B351" s="142">
        <f t="shared" si="174"/>
        <v>145</v>
      </c>
      <c r="C351" s="62" t="s">
        <v>94</v>
      </c>
      <c r="D351" s="62" t="s">
        <v>764</v>
      </c>
      <c r="E351" s="123" t="s">
        <v>125</v>
      </c>
      <c r="F351" s="123"/>
      <c r="G351" s="123" t="s">
        <v>43</v>
      </c>
      <c r="H351" s="123" t="s">
        <v>105</v>
      </c>
      <c r="I351" s="123" t="s">
        <v>105</v>
      </c>
      <c r="J351" s="64">
        <v>3950.89</v>
      </c>
      <c r="K351" s="64">
        <v>3454.6</v>
      </c>
      <c r="L351" s="64">
        <v>0</v>
      </c>
      <c r="M351" s="124">
        <v>153</v>
      </c>
      <c r="N351" s="63">
        <f t="shared" si="180"/>
        <v>61157642.325708807</v>
      </c>
      <c r="O351" s="64">
        <v>0</v>
      </c>
      <c r="P351" s="65"/>
      <c r="Q351" s="65">
        <v>0</v>
      </c>
      <c r="R351" s="65">
        <f t="shared" ref="R351" si="184">+AQ351+AR351</f>
        <v>2414088.9500000002</v>
      </c>
      <c r="S351" s="65">
        <f>+AS351</f>
        <v>13058388</v>
      </c>
      <c r="T351" s="65">
        <f>+'Приложение №2'!E360-'Приложение №1'!P351-'Приложение №1'!R351-'Приложение №1'!S351</f>
        <v>45685165.375708804</v>
      </c>
      <c r="U351" s="65">
        <f t="shared" si="181"/>
        <v>17703.248516675969</v>
      </c>
      <c r="V351" s="65">
        <v>1327.2830200640001</v>
      </c>
      <c r="W351" s="126">
        <v>2023</v>
      </c>
      <c r="X351" s="74">
        <v>1263644.1499999999</v>
      </c>
      <c r="Y351" s="74">
        <f>+(K351*9.1+L351*18.19)*12</f>
        <v>377242.31999999995</v>
      </c>
      <c r="AA351" s="129">
        <f>+N351-'[5]Приложение № 2'!E308</f>
        <v>56312252.985708803</v>
      </c>
      <c r="AD351" s="129">
        <f>+N351-'[5]Приложение № 2'!E308</f>
        <v>56312252.985708803</v>
      </c>
      <c r="AP351" s="128">
        <f>+N351-'Приложение №2'!E360</f>
        <v>0</v>
      </c>
      <c r="AQ351" s="38">
        <v>2044101.29</v>
      </c>
      <c r="AR351" s="25">
        <f t="shared" si="182"/>
        <v>369987.66</v>
      </c>
      <c r="AS351" s="25">
        <f t="shared" si="183"/>
        <v>13058388</v>
      </c>
      <c r="AT351" s="127">
        <f t="shared" si="131"/>
        <v>0</v>
      </c>
      <c r="AU351" s="127">
        <f>+P351-'[6]Приложение №1'!$P343</f>
        <v>0</v>
      </c>
      <c r="AV351" s="127">
        <f>+Q351-'[6]Приложение №1'!$Q343</f>
        <v>0</v>
      </c>
      <c r="AW351" s="88">
        <f t="shared" si="132"/>
        <v>61157642.325708807</v>
      </c>
      <c r="AX351" s="64"/>
      <c r="AY351" s="64"/>
      <c r="AZ351" s="64"/>
      <c r="BA351" s="64"/>
      <c r="BB351" s="64"/>
      <c r="BC351" s="64"/>
      <c r="BD351" s="64"/>
      <c r="BE351" s="64">
        <v>0</v>
      </c>
      <c r="BF351" s="64">
        <v>19539237.221927989</v>
      </c>
      <c r="BG351" s="64">
        <v>0</v>
      </c>
      <c r="BH351" s="64">
        <v>26121995.741614502</v>
      </c>
      <c r="BI351" s="64">
        <v>11011049.169328276</v>
      </c>
      <c r="BJ351" s="64">
        <v>2004018.8504551058</v>
      </c>
      <c r="BK351" s="65">
        <v>809410.4231971642</v>
      </c>
      <c r="BL351" s="66">
        <v>1671930.9191857728</v>
      </c>
    </row>
    <row r="352" spans="1:64" x14ac:dyDescent="0.25">
      <c r="A352" s="141">
        <f t="shared" si="173"/>
        <v>334</v>
      </c>
      <c r="B352" s="142">
        <f t="shared" si="174"/>
        <v>146</v>
      </c>
      <c r="C352" s="62" t="s">
        <v>52</v>
      </c>
      <c r="D352" s="62" t="s">
        <v>1046</v>
      </c>
      <c r="E352" s="123">
        <v>1995</v>
      </c>
      <c r="F352" s="123">
        <v>2013</v>
      </c>
      <c r="G352" s="123" t="s">
        <v>43</v>
      </c>
      <c r="H352" s="123">
        <v>5</v>
      </c>
      <c r="I352" s="123">
        <v>2</v>
      </c>
      <c r="J352" s="64">
        <v>2325.6999999999998</v>
      </c>
      <c r="K352" s="64">
        <v>1861.6</v>
      </c>
      <c r="L352" s="64">
        <v>0</v>
      </c>
      <c r="M352" s="124">
        <v>45</v>
      </c>
      <c r="N352" s="95">
        <f t="shared" si="179"/>
        <v>1422590.52870784</v>
      </c>
      <c r="O352" s="64"/>
      <c r="P352" s="65"/>
      <c r="Q352" s="65"/>
      <c r="R352" s="65">
        <v>754929.79</v>
      </c>
      <c r="S352" s="65">
        <f>+'Приложение №2'!E361-'Приложение №1'!R352</f>
        <v>667660.73870783998</v>
      </c>
      <c r="T352" s="65">
        <f>+'Приложение №2'!E361-'Приложение №1'!P352-'Приложение №1'!Q352-'Приложение №1'!R352-'Приложение №1'!S352</f>
        <v>0</v>
      </c>
      <c r="U352" s="64">
        <f t="shared" si="171"/>
        <v>764.17626166085097</v>
      </c>
      <c r="V352" s="64">
        <f t="shared" si="171"/>
        <v>764.17626166085097</v>
      </c>
      <c r="W352" s="126">
        <v>2023</v>
      </c>
      <c r="X352" s="127" t="e">
        <f>+#REF!-'[1]Приложение №1'!$P1294</f>
        <v>#REF!</v>
      </c>
      <c r="Z352" s="63">
        <f>SUM(AA352:AO352)</f>
        <v>24619973.59</v>
      </c>
      <c r="AA352" s="64">
        <v>4453931.4770332193</v>
      </c>
      <c r="AB352" s="64">
        <v>1587118.89355698</v>
      </c>
      <c r="AC352" s="64">
        <v>1658186.10096636</v>
      </c>
      <c r="AD352" s="64">
        <v>1038129.3440137201</v>
      </c>
      <c r="AE352" s="64">
        <v>0</v>
      </c>
      <c r="AF352" s="64"/>
      <c r="AG352" s="64">
        <v>170909.54989416001</v>
      </c>
      <c r="AH352" s="64">
        <v>0</v>
      </c>
      <c r="AI352" s="64">
        <v>8142464.4194249995</v>
      </c>
      <c r="AJ352" s="64">
        <v>0</v>
      </c>
      <c r="AK352" s="64">
        <v>0</v>
      </c>
      <c r="AL352" s="64">
        <v>4559967.0846529808</v>
      </c>
      <c r="AM352" s="64">
        <v>2290484.5943999998</v>
      </c>
      <c r="AN352" s="65">
        <v>246199.7359</v>
      </c>
      <c r="AO352" s="66">
        <v>472582.39015758003</v>
      </c>
      <c r="AP352" s="128">
        <f>+N352-'Приложение №2'!E361</f>
        <v>0</v>
      </c>
      <c r="AQ352" s="23">
        <v>717879.06</v>
      </c>
      <c r="AR352" s="25">
        <f t="shared" si="175"/>
        <v>189883.19999999998</v>
      </c>
      <c r="AS352" s="25">
        <f>+(K352*10+L352*20)*12*30</f>
        <v>6701760</v>
      </c>
      <c r="AT352" s="127">
        <f t="shared" si="131"/>
        <v>-6034099.2612921596</v>
      </c>
      <c r="AU352" s="127">
        <f>+P352-'[6]Приложение №1'!$P323</f>
        <v>-3679232.53</v>
      </c>
      <c r="AV352" s="127">
        <f>+Q352-'[6]Приложение №1'!$Q323</f>
        <v>0</v>
      </c>
      <c r="AW352" s="63">
        <f t="shared" si="132"/>
        <v>1422590.52870784</v>
      </c>
      <c r="AX352" s="64"/>
      <c r="AY352" s="64"/>
      <c r="AZ352" s="64"/>
      <c r="BA352" s="64">
        <v>754929.79</v>
      </c>
      <c r="BB352" s="64">
        <v>0</v>
      </c>
      <c r="BC352" s="64"/>
      <c r="BD352" s="64"/>
      <c r="BE352" s="64">
        <v>0</v>
      </c>
      <c r="BF352" s="64"/>
      <c r="BG352" s="64">
        <v>0</v>
      </c>
      <c r="BH352" s="64">
        <v>0</v>
      </c>
      <c r="BI352" s="64"/>
      <c r="BJ352" s="64">
        <v>160007.0122</v>
      </c>
      <c r="BK352" s="65">
        <v>24000</v>
      </c>
      <c r="BL352" s="66">
        <v>483653.72650783998</v>
      </c>
    </row>
    <row r="353" spans="1:64" s="74" customFormat="1" x14ac:dyDescent="0.25">
      <c r="A353" s="141">
        <f t="shared" si="173"/>
        <v>335</v>
      </c>
      <c r="B353" s="142">
        <f t="shared" si="174"/>
        <v>147</v>
      </c>
      <c r="C353" s="62" t="s">
        <v>94</v>
      </c>
      <c r="D353" s="62" t="s">
        <v>765</v>
      </c>
      <c r="E353" s="123" t="s">
        <v>152</v>
      </c>
      <c r="F353" s="123"/>
      <c r="G353" s="123" t="s">
        <v>43</v>
      </c>
      <c r="H353" s="123" t="s">
        <v>105</v>
      </c>
      <c r="I353" s="123" t="s">
        <v>105</v>
      </c>
      <c r="J353" s="64">
        <v>3906</v>
      </c>
      <c r="K353" s="64">
        <v>3421.4</v>
      </c>
      <c r="L353" s="64">
        <v>0</v>
      </c>
      <c r="M353" s="124">
        <v>129</v>
      </c>
      <c r="N353" s="63">
        <f>SUM(O353:T353)</f>
        <v>8914451.7878207974</v>
      </c>
      <c r="O353" s="64"/>
      <c r="P353" s="65">
        <v>0</v>
      </c>
      <c r="Q353" s="65"/>
      <c r="R353" s="65">
        <f>+AQ353+AR353</f>
        <v>2250144.52</v>
      </c>
      <c r="S353" s="65">
        <f>+'Приложение №2'!E362-'Приложение №1'!R353</f>
        <v>6664307.2678207979</v>
      </c>
      <c r="T353" s="65"/>
      <c r="U353" s="65">
        <f>N353/K353</f>
        <v>2605.4982719999994</v>
      </c>
      <c r="V353" s="65">
        <v>1328.2830200640001</v>
      </c>
      <c r="W353" s="126">
        <v>2023</v>
      </c>
      <c r="AA353" s="129"/>
      <c r="AD353" s="129"/>
      <c r="AP353" s="128">
        <f>+N353-'Приложение №2'!E362</f>
        <v>0</v>
      </c>
      <c r="AQ353" s="67">
        <v>1883712.58</v>
      </c>
      <c r="AR353" s="25">
        <f>+(K353*10.5+L353*21)*12*0.85</f>
        <v>366431.94</v>
      </c>
      <c r="AS353" s="25">
        <f>+(K353*10.5+L353*21)*12*30</f>
        <v>12932892</v>
      </c>
      <c r="AT353" s="127">
        <f>+S353-AS353</f>
        <v>-6268584.7321792021</v>
      </c>
      <c r="AU353" s="127"/>
      <c r="AV353" s="127"/>
      <c r="AW353" s="88">
        <f>SUBTOTAL(9,AX353:BL353)</f>
        <v>8914451.7878207974</v>
      </c>
      <c r="AX353" s="64"/>
      <c r="AY353" s="64"/>
      <c r="AZ353" s="64"/>
      <c r="BA353" s="64"/>
      <c r="BB353" s="64"/>
      <c r="BC353" s="64"/>
      <c r="BD353" s="64"/>
      <c r="BE353" s="64"/>
      <c r="BF353" s="64"/>
      <c r="BG353" s="64"/>
      <c r="BH353" s="64"/>
      <c r="BI353" s="64">
        <v>7764077.4424096756</v>
      </c>
      <c r="BJ353" s="64">
        <v>891445.17878207995</v>
      </c>
      <c r="BK353" s="65">
        <v>89144.517878207989</v>
      </c>
      <c r="BL353" s="66">
        <v>169784.64875083495</v>
      </c>
    </row>
    <row r="354" spans="1:64" x14ac:dyDescent="0.25">
      <c r="A354" s="141">
        <f t="shared" si="173"/>
        <v>336</v>
      </c>
      <c r="B354" s="142">
        <f t="shared" si="174"/>
        <v>148</v>
      </c>
      <c r="C354" s="62" t="s">
        <v>52</v>
      </c>
      <c r="D354" s="62" t="s">
        <v>728</v>
      </c>
      <c r="E354" s="123">
        <v>1968</v>
      </c>
      <c r="F354" s="123">
        <v>2013</v>
      </c>
      <c r="G354" s="123" t="s">
        <v>43</v>
      </c>
      <c r="H354" s="123">
        <v>5</v>
      </c>
      <c r="I354" s="123">
        <v>5</v>
      </c>
      <c r="J354" s="64">
        <v>3261.1</v>
      </c>
      <c r="K354" s="64">
        <v>2512.5</v>
      </c>
      <c r="L354" s="64">
        <v>664.8</v>
      </c>
      <c r="M354" s="124">
        <v>128</v>
      </c>
      <c r="N354" s="95">
        <f t="shared" si="179"/>
        <v>3230601.6521515604</v>
      </c>
      <c r="O354" s="64"/>
      <c r="P354" s="65"/>
      <c r="Q354" s="65"/>
      <c r="R354" s="65">
        <f>+AQ354+AR354</f>
        <v>1410542.02</v>
      </c>
      <c r="S354" s="65">
        <f>+'Приложение №2'!E363-'Приложение №1'!R354</f>
        <v>1820059.6321515604</v>
      </c>
      <c r="T354" s="65">
        <v>0</v>
      </c>
      <c r="U354" s="64">
        <f t="shared" ref="U354:V388" si="185">$N354/($K354+$L354)</f>
        <v>1016.7757694116262</v>
      </c>
      <c r="V354" s="64">
        <f t="shared" si="185"/>
        <v>1016.7757694116262</v>
      </c>
      <c r="W354" s="126">
        <v>2023</v>
      </c>
      <c r="X354" s="127" t="e">
        <f>+#REF!-'[1]Приложение №1'!$P430</f>
        <v>#REF!</v>
      </c>
      <c r="Z354" s="63">
        <f>SUM(AA354:AO354)</f>
        <v>30275329.636437476</v>
      </c>
      <c r="AA354" s="64">
        <v>6028027.9685480399</v>
      </c>
      <c r="AB354" s="64">
        <v>0</v>
      </c>
      <c r="AC354" s="64">
        <v>2244217.7771235602</v>
      </c>
      <c r="AD354" s="64">
        <v>0</v>
      </c>
      <c r="AE354" s="64">
        <v>1240916.79</v>
      </c>
      <c r="AF354" s="64"/>
      <c r="AG354" s="64">
        <v>0</v>
      </c>
      <c r="AH354" s="64">
        <v>0</v>
      </c>
      <c r="AI354" s="64">
        <v>11020152.319356598</v>
      </c>
      <c r="AJ354" s="64">
        <v>0</v>
      </c>
      <c r="AK354" s="64">
        <v>5721714.1000613989</v>
      </c>
      <c r="AL354" s="64">
        <v>0</v>
      </c>
      <c r="AM354" s="64">
        <v>3056047.9632999999</v>
      </c>
      <c r="AN354" s="65">
        <v>328671.8125</v>
      </c>
      <c r="AO354" s="66">
        <v>635580.90554787999</v>
      </c>
      <c r="AP354" s="128">
        <f>+N354-'Приложение №2'!E363</f>
        <v>0</v>
      </c>
      <c r="AQ354" s="23">
        <v>1018647.82</v>
      </c>
      <c r="AR354" s="25">
        <f t="shared" si="175"/>
        <v>391894.2</v>
      </c>
      <c r="AS354" s="25">
        <f>+(K354*10+L354*20)*12*30</f>
        <v>13831560</v>
      </c>
      <c r="AT354" s="127">
        <f t="shared" si="131"/>
        <v>-12011500.367848439</v>
      </c>
      <c r="AU354" s="127">
        <f>+P354-'[6]Приложение №1'!$P325</f>
        <v>-9266556.7940246668</v>
      </c>
      <c r="AV354" s="127">
        <f>+Q354-'[6]Приложение №1'!$Q325</f>
        <v>0</v>
      </c>
      <c r="AW354" s="63">
        <f t="shared" ref="AW354:AW429" si="186">SUBTOTAL(9,AX354:BL354)</f>
        <v>3230601.6521515604</v>
      </c>
      <c r="AX354" s="64"/>
      <c r="AY354" s="64"/>
      <c r="AZ354" s="64">
        <v>2244217.7771235602</v>
      </c>
      <c r="BA354" s="64"/>
      <c r="BB354" s="64">
        <v>982262</v>
      </c>
      <c r="BC354" s="64"/>
      <c r="BD354" s="64"/>
      <c r="BE354" s="64"/>
      <c r="BF354" s="64"/>
      <c r="BG354" s="64"/>
      <c r="BH354" s="64"/>
      <c r="BI354" s="64">
        <v>0</v>
      </c>
      <c r="BJ354" s="64"/>
      <c r="BK354" s="65"/>
      <c r="BL354" s="66">
        <v>4121.8750279999986</v>
      </c>
    </row>
    <row r="355" spans="1:64" x14ac:dyDescent="0.25">
      <c r="A355" s="141">
        <f t="shared" si="173"/>
        <v>337</v>
      </c>
      <c r="B355" s="142">
        <f t="shared" si="174"/>
        <v>149</v>
      </c>
      <c r="C355" s="62" t="s">
        <v>52</v>
      </c>
      <c r="D355" s="62" t="s">
        <v>1048</v>
      </c>
      <c r="E355" s="123">
        <v>1986</v>
      </c>
      <c r="F355" s="123">
        <v>2013</v>
      </c>
      <c r="G355" s="123" t="s">
        <v>43</v>
      </c>
      <c r="H355" s="123">
        <v>12</v>
      </c>
      <c r="I355" s="123">
        <v>1</v>
      </c>
      <c r="J355" s="64">
        <v>5358.08</v>
      </c>
      <c r="K355" s="64">
        <v>4351.1000000000004</v>
      </c>
      <c r="L355" s="64">
        <v>75.099999999999994</v>
      </c>
      <c r="M355" s="124">
        <v>175</v>
      </c>
      <c r="N355" s="63">
        <f t="shared" si="179"/>
        <v>542862</v>
      </c>
      <c r="O355" s="64"/>
      <c r="P355" s="65"/>
      <c r="Q355" s="65"/>
      <c r="R355" s="65"/>
      <c r="S355" s="65"/>
      <c r="T355" s="65">
        <f>+'Приложение №2'!E364-'Приложение №1'!P355-'Приложение №1'!Q355-'Приложение №1'!R355-'Приложение №1'!S355</f>
        <v>542862</v>
      </c>
      <c r="U355" s="65">
        <f t="shared" si="185"/>
        <v>122.64741764945097</v>
      </c>
      <c r="V355" s="65">
        <f t="shared" si="185"/>
        <v>122.64741764945097</v>
      </c>
      <c r="W355" s="126">
        <v>2023</v>
      </c>
      <c r="X355" s="127" t="e">
        <f>+#REF!-'[1]Приложение №1'!$P1317</f>
        <v>#REF!</v>
      </c>
      <c r="Z355" s="63">
        <f>SUM(AA355:AO355)</f>
        <v>79559391.959999993</v>
      </c>
      <c r="AA355" s="64">
        <v>8341354.4473349992</v>
      </c>
      <c r="AB355" s="64">
        <v>5553433.1235902393</v>
      </c>
      <c r="AC355" s="64">
        <v>3380551.53059988</v>
      </c>
      <c r="AD355" s="64">
        <v>3049959.7596686399</v>
      </c>
      <c r="AE355" s="64">
        <v>1113740.92605384</v>
      </c>
      <c r="AF355" s="64"/>
      <c r="AG355" s="64">
        <v>465647.12643960002</v>
      </c>
      <c r="AH355" s="64">
        <v>0</v>
      </c>
      <c r="AI355" s="64">
        <v>3947389.3810512</v>
      </c>
      <c r="AJ355" s="64">
        <v>0</v>
      </c>
      <c r="AK355" s="64">
        <v>34269240.723520316</v>
      </c>
      <c r="AL355" s="64">
        <v>9011986.1099326797</v>
      </c>
      <c r="AM355" s="64">
        <v>8118689.5914000003</v>
      </c>
      <c r="AN355" s="65">
        <v>795593.91959999991</v>
      </c>
      <c r="AO355" s="66">
        <v>1511805.3208086002</v>
      </c>
      <c r="AP355" s="128">
        <f>+N355-'Приложение №2'!E364</f>
        <v>0</v>
      </c>
      <c r="AQ355" s="23">
        <v>2642732.98</v>
      </c>
      <c r="AR355" s="25">
        <f>+(K355*13.29+L355*22.52)*12*0.85</f>
        <v>607077.18420000002</v>
      </c>
      <c r="AS355" s="25">
        <f>+(K355*13.29+L355*22.52)*12*30</f>
        <v>21426253.560000002</v>
      </c>
      <c r="AT355" s="127">
        <f t="shared" si="131"/>
        <v>-21426253.560000002</v>
      </c>
      <c r="AW355" s="95">
        <f t="shared" si="186"/>
        <v>542862</v>
      </c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>
        <v>542862</v>
      </c>
      <c r="BI355" s="64"/>
      <c r="BJ355" s="64"/>
      <c r="BK355" s="65"/>
      <c r="BL355" s="66"/>
    </row>
    <row r="356" spans="1:64" s="74" customFormat="1" x14ac:dyDescent="0.25">
      <c r="A356" s="141">
        <f t="shared" si="173"/>
        <v>338</v>
      </c>
      <c r="B356" s="142">
        <f t="shared" si="174"/>
        <v>150</v>
      </c>
      <c r="C356" s="62" t="s">
        <v>52</v>
      </c>
      <c r="D356" s="62" t="s">
        <v>123</v>
      </c>
      <c r="E356" s="123" t="s">
        <v>117</v>
      </c>
      <c r="F356" s="123"/>
      <c r="G356" s="123" t="s">
        <v>43</v>
      </c>
      <c r="H356" s="123" t="s">
        <v>105</v>
      </c>
      <c r="I356" s="123" t="s">
        <v>109</v>
      </c>
      <c r="J356" s="64">
        <v>5678.2</v>
      </c>
      <c r="K356" s="64">
        <v>4923.8</v>
      </c>
      <c r="L356" s="64">
        <v>69.900000000000006</v>
      </c>
      <c r="M356" s="124">
        <v>205</v>
      </c>
      <c r="N356" s="95">
        <f t="shared" si="179"/>
        <v>66200707.596252531</v>
      </c>
      <c r="O356" s="64">
        <v>0</v>
      </c>
      <c r="P356" s="65">
        <v>17605158.597932905</v>
      </c>
      <c r="Q356" s="65">
        <v>0</v>
      </c>
      <c r="R356" s="65">
        <f>+AQ356+AR356</f>
        <v>2797375.72</v>
      </c>
      <c r="S356" s="65">
        <f>+AS356</f>
        <v>18228960</v>
      </c>
      <c r="T356" s="65">
        <f>+'Приложение №2'!E365-'Приложение №1'!P356-'Приложение №1'!Q356-'Приложение №1'!R356-'Приложение №1'!S356</f>
        <v>27569213.278319627</v>
      </c>
      <c r="U356" s="64">
        <f t="shared" si="185"/>
        <v>13256.845144132114</v>
      </c>
      <c r="V356" s="64">
        <f t="shared" si="185"/>
        <v>13256.845144132114</v>
      </c>
      <c r="W356" s="126">
        <v>2023</v>
      </c>
      <c r="X356" s="74">
        <v>1831927.01</v>
      </c>
      <c r="Y356" s="74">
        <f>+(K356*9.1+L356*18.19)*12</f>
        <v>552936.73200000008</v>
      </c>
      <c r="AA356" s="129">
        <f>+N356-'[5]Приложение № 2'!E307</f>
        <v>64242566.436252534</v>
      </c>
      <c r="AD356" s="129">
        <f>+N356-'[5]Приложение № 2'!E307</f>
        <v>64242566.436252534</v>
      </c>
      <c r="AP356" s="128">
        <f>+N356-'Приложение №2'!E365</f>
        <v>0</v>
      </c>
      <c r="AQ356" s="74">
        <v>2280888.52</v>
      </c>
      <c r="AR356" s="25">
        <f t="shared" ref="AR356:AR410" si="187">+(K356*10+L356*20)*12*0.85</f>
        <v>516487.2</v>
      </c>
      <c r="AS356" s="25">
        <f>+(K356*10+L356*20)*12*30</f>
        <v>18228960</v>
      </c>
      <c r="AT356" s="127">
        <f t="shared" si="131"/>
        <v>0</v>
      </c>
      <c r="AU356" s="127">
        <f>+P356-'[6]Приложение №1'!$P327</f>
        <v>0</v>
      </c>
      <c r="AV356" s="127">
        <f>+Q356-'[6]Приложение №1'!$Q327</f>
        <v>0</v>
      </c>
      <c r="AW356" s="63">
        <f t="shared" si="186"/>
        <v>66200707.596252531</v>
      </c>
      <c r="AX356" s="64">
        <v>8835258.7268668804</v>
      </c>
      <c r="AY356" s="64"/>
      <c r="AZ356" s="64">
        <v>5569271.4127483098</v>
      </c>
      <c r="BA356" s="64">
        <v>4295867.3561627036</v>
      </c>
      <c r="BB356" s="64"/>
      <c r="BC356" s="64"/>
      <c r="BD356" s="64">
        <v>418101.46163142752</v>
      </c>
      <c r="BE356" s="64"/>
      <c r="BF356" s="64"/>
      <c r="BG356" s="64"/>
      <c r="BH356" s="64">
        <v>31664608.563177813</v>
      </c>
      <c r="BI356" s="64">
        <v>12348392.029822793</v>
      </c>
      <c r="BJ356" s="64">
        <v>1482907.8558986555</v>
      </c>
      <c r="BK356" s="64">
        <v>48725.618500800003</v>
      </c>
      <c r="BL356" s="96">
        <v>1537574.5714431447</v>
      </c>
    </row>
    <row r="357" spans="1:64" s="74" customFormat="1" x14ac:dyDescent="0.25">
      <c r="A357" s="141">
        <f t="shared" si="173"/>
        <v>339</v>
      </c>
      <c r="B357" s="142">
        <f t="shared" si="174"/>
        <v>151</v>
      </c>
      <c r="C357" s="62" t="s">
        <v>52</v>
      </c>
      <c r="D357" s="62" t="s">
        <v>729</v>
      </c>
      <c r="E357" s="123" t="s">
        <v>117</v>
      </c>
      <c r="F357" s="123"/>
      <c r="G357" s="123" t="s">
        <v>43</v>
      </c>
      <c r="H357" s="123" t="s">
        <v>105</v>
      </c>
      <c r="I357" s="123" t="s">
        <v>109</v>
      </c>
      <c r="J357" s="64">
        <v>5563.5</v>
      </c>
      <c r="K357" s="64">
        <v>4878.8999999999996</v>
      </c>
      <c r="L357" s="64">
        <v>141.30000000000001</v>
      </c>
      <c r="M357" s="124">
        <v>202</v>
      </c>
      <c r="N357" s="95">
        <f t="shared" si="179"/>
        <v>20550313.227349345</v>
      </c>
      <c r="O357" s="64">
        <v>0</v>
      </c>
      <c r="P357" s="65"/>
      <c r="Q357" s="65">
        <v>0</v>
      </c>
      <c r="R357" s="65">
        <f>+AQ357+AR357</f>
        <v>2911056.81</v>
      </c>
      <c r="S357" s="65">
        <f>+'Приложение №2'!E366-'Приложение №1'!R357</f>
        <v>17639256.417349346</v>
      </c>
      <c r="T357" s="65">
        <f>+'Приложение №2'!E366-'Приложение №1'!P357-'Приложение №1'!Q357-'Приложение №1'!R357-'Приложение №1'!S357</f>
        <v>0</v>
      </c>
      <c r="U357" s="64">
        <f t="shared" si="185"/>
        <v>4093.5248052566321</v>
      </c>
      <c r="V357" s="64">
        <f t="shared" si="185"/>
        <v>4093.5248052566321</v>
      </c>
      <c r="W357" s="126">
        <v>2023</v>
      </c>
      <c r="X357" s="74">
        <v>1863663.58</v>
      </c>
      <c r="Y357" s="74">
        <f>+(K357*9.1+L357*18.19)*12</f>
        <v>563618.84400000004</v>
      </c>
      <c r="AA357" s="129">
        <f>+N357-'[5]Приложение № 2'!E308</f>
        <v>15704923.887349345</v>
      </c>
      <c r="AD357" s="129">
        <f>+N357-'[5]Приложение № 2'!E308</f>
        <v>15704923.887349345</v>
      </c>
      <c r="AP357" s="128">
        <f>+N357-'Приложение №2'!E366</f>
        <v>0</v>
      </c>
      <c r="AQ357" s="74">
        <v>2384583.81</v>
      </c>
      <c r="AR357" s="25">
        <f t="shared" si="187"/>
        <v>526473</v>
      </c>
      <c r="AS357" s="25">
        <f>+(K357*10+L357*20)*12*30</f>
        <v>18581400</v>
      </c>
      <c r="AT357" s="127">
        <f t="shared" si="131"/>
        <v>-942143.58265065402</v>
      </c>
      <c r="AU357" s="127">
        <f>+P357-'[6]Приложение №1'!$P328</f>
        <v>-17148929.116796475</v>
      </c>
      <c r="AV357" s="127">
        <f>+Q357-'[6]Приложение №1'!$Q328</f>
        <v>0</v>
      </c>
      <c r="AW357" s="63">
        <f t="shared" si="186"/>
        <v>20550313.227349345</v>
      </c>
      <c r="AX357" s="64"/>
      <c r="AY357" s="64"/>
      <c r="AZ357" s="64">
        <v>5439076.9790404048</v>
      </c>
      <c r="BA357" s="64"/>
      <c r="BB357" s="64"/>
      <c r="BC357" s="64"/>
      <c r="BD357" s="64"/>
      <c r="BE357" s="64"/>
      <c r="BF357" s="64"/>
      <c r="BG357" s="64"/>
      <c r="BH357" s="64"/>
      <c r="BI357" s="64">
        <v>12054826.904510155</v>
      </c>
      <c r="BJ357" s="64">
        <v>1506877.3285040956</v>
      </c>
      <c r="BK357" s="64">
        <v>48520.724843999997</v>
      </c>
      <c r="BL357" s="96">
        <v>1501011.2904506847</v>
      </c>
    </row>
    <row r="358" spans="1:64" s="74" customFormat="1" x14ac:dyDescent="0.25">
      <c r="A358" s="141">
        <f t="shared" si="173"/>
        <v>340</v>
      </c>
      <c r="B358" s="142">
        <f t="shared" si="174"/>
        <v>152</v>
      </c>
      <c r="C358" s="62" t="s">
        <v>94</v>
      </c>
      <c r="D358" s="62" t="s">
        <v>766</v>
      </c>
      <c r="E358" s="123" t="s">
        <v>125</v>
      </c>
      <c r="F358" s="123"/>
      <c r="G358" s="123" t="s">
        <v>43</v>
      </c>
      <c r="H358" s="123" t="s">
        <v>105</v>
      </c>
      <c r="I358" s="123" t="s">
        <v>109</v>
      </c>
      <c r="J358" s="64">
        <v>5751.1</v>
      </c>
      <c r="K358" s="64">
        <v>4971.6000000000004</v>
      </c>
      <c r="L358" s="64">
        <v>0</v>
      </c>
      <c r="M358" s="124">
        <v>221</v>
      </c>
      <c r="N358" s="63">
        <f t="shared" ref="N358" si="188">SUM(O358:T358)</f>
        <v>49984811.481423534</v>
      </c>
      <c r="O358" s="64">
        <v>0</v>
      </c>
      <c r="P358" s="65">
        <v>3680777.26</v>
      </c>
      <c r="Q358" s="65">
        <v>0</v>
      </c>
      <c r="R358" s="65">
        <f t="shared" ref="R358" si="189">+AQ358+AR358</f>
        <v>3418143.1399999997</v>
      </c>
      <c r="S358" s="65">
        <f>+AS358</f>
        <v>18792648.000000004</v>
      </c>
      <c r="T358" s="65">
        <f>+'Приложение №2'!E367-'Приложение №1'!P358-'Приложение №1'!R358-'Приложение №1'!S358</f>
        <v>24093243.081423532</v>
      </c>
      <c r="U358" s="65">
        <f t="shared" ref="U358" si="190">N358/K358</f>
        <v>10054.069410536555</v>
      </c>
      <c r="V358" s="65">
        <v>1330.2830200640001</v>
      </c>
      <c r="W358" s="126">
        <v>2023</v>
      </c>
      <c r="X358" s="74">
        <v>1827431.02</v>
      </c>
      <c r="Y358" s="74">
        <f>+(K358*9.1+L358*18.19)*12</f>
        <v>542898.72000000009</v>
      </c>
      <c r="AA358" s="129">
        <f>+N358-'[5]Приложение № 2'!E315</f>
        <v>49984811.481423534</v>
      </c>
      <c r="AD358" s="129">
        <f>+N358-'[5]Приложение № 2'!E315</f>
        <v>49984811.481423534</v>
      </c>
      <c r="AP358" s="128">
        <f>+N358-'Приложение №2'!E367</f>
        <v>0</v>
      </c>
      <c r="AQ358" s="38">
        <v>2885684.78</v>
      </c>
      <c r="AR358" s="25">
        <f t="shared" ref="AR358" si="191">+(K358*10.5+L358*21)*12*0.85</f>
        <v>532458.3600000001</v>
      </c>
      <c r="AS358" s="25">
        <f>+(K358*10.5+L358*21)*12*30</f>
        <v>18792648.000000004</v>
      </c>
      <c r="AT358" s="127">
        <f t="shared" ref="AT358" si="192">+S358-AS358</f>
        <v>0</v>
      </c>
      <c r="AU358" s="127">
        <f>+P358-'[6]Приложение №1'!$P350</f>
        <v>1747907.0899999989</v>
      </c>
      <c r="AV358" s="127">
        <f>+Q358-'[6]Приложение №1'!$Q350</f>
        <v>0</v>
      </c>
      <c r="AW358" s="88">
        <f t="shared" si="186"/>
        <v>49984811.481423534</v>
      </c>
      <c r="AX358" s="64">
        <v>8299975.9537642226</v>
      </c>
      <c r="AY358" s="64">
        <v>4800122.6970841354</v>
      </c>
      <c r="AZ358" s="64">
        <v>0</v>
      </c>
      <c r="BA358" s="64">
        <v>0</v>
      </c>
      <c r="BB358" s="64"/>
      <c r="BC358" s="64"/>
      <c r="BD358" s="64">
        <v>412435.57775988925</v>
      </c>
      <c r="BE358" s="64">
        <v>0</v>
      </c>
      <c r="BF358" s="64">
        <v>14775207.726083936</v>
      </c>
      <c r="BG358" s="64">
        <v>0</v>
      </c>
      <c r="BH358" s="64"/>
      <c r="BI358" s="64">
        <v>11281898.466324883</v>
      </c>
      <c r="BJ358" s="64">
        <v>8086588.8803274343</v>
      </c>
      <c r="BK358" s="65">
        <v>802166.0944391829</v>
      </c>
      <c r="BL358" s="66">
        <v>1526416.085639846</v>
      </c>
    </row>
    <row r="359" spans="1:64" s="74" customFormat="1" x14ac:dyDescent="0.25">
      <c r="A359" s="141">
        <f t="shared" si="173"/>
        <v>341</v>
      </c>
      <c r="B359" s="142">
        <f t="shared" si="174"/>
        <v>153</v>
      </c>
      <c r="C359" s="62" t="s">
        <v>52</v>
      </c>
      <c r="D359" s="62" t="s">
        <v>1099</v>
      </c>
      <c r="E359" s="123" t="s">
        <v>125</v>
      </c>
      <c r="F359" s="123"/>
      <c r="G359" s="123" t="s">
        <v>43</v>
      </c>
      <c r="H359" s="123" t="s">
        <v>105</v>
      </c>
      <c r="I359" s="123" t="s">
        <v>109</v>
      </c>
      <c r="J359" s="64">
        <v>5677.5</v>
      </c>
      <c r="K359" s="64">
        <v>4896.3999999999996</v>
      </c>
      <c r="L359" s="64">
        <v>72</v>
      </c>
      <c r="M359" s="124">
        <v>216</v>
      </c>
      <c r="N359" s="95">
        <f t="shared" si="179"/>
        <v>23518468.540692292</v>
      </c>
      <c r="O359" s="64">
        <v>0</v>
      </c>
      <c r="P359" s="65">
        <v>3663327.29</v>
      </c>
      <c r="Q359" s="65"/>
      <c r="R359" s="65">
        <v>933265.76</v>
      </c>
      <c r="S359" s="65">
        <v>5108558.1099999994</v>
      </c>
      <c r="T359" s="64">
        <f>+'Приложение №2'!E368-'Приложение №1'!P359-'Приложение №1'!Q359-'Приложение №1'!R359-'Приложение №1'!S359</f>
        <v>13813317.380692292</v>
      </c>
      <c r="U359" s="64">
        <f t="shared" si="185"/>
        <v>4733.6101241229153</v>
      </c>
      <c r="V359" s="64">
        <f t="shared" si="185"/>
        <v>4733.6101241229153</v>
      </c>
      <c r="W359" s="126">
        <v>2023</v>
      </c>
      <c r="X359" s="74">
        <v>1825680.39</v>
      </c>
      <c r="Y359" s="74">
        <f>+(K359*9.1+L359*18.19)*12</f>
        <v>550403.04</v>
      </c>
      <c r="AA359" s="129">
        <f>+N359-'[5]Приложение № 2'!E309</f>
        <v>22201636.940692291</v>
      </c>
      <c r="AD359" s="129">
        <f>+N359-'[5]Приложение № 2'!E309</f>
        <v>22201636.940692291</v>
      </c>
      <c r="AP359" s="128">
        <f>+N359-'Приложение №2'!E368</f>
        <v>0</v>
      </c>
      <c r="AQ359" s="143">
        <f>2265420.6-R122</f>
        <v>-280804.35999999987</v>
      </c>
      <c r="AR359" s="25">
        <f t="shared" si="187"/>
        <v>514120.8</v>
      </c>
      <c r="AS359" s="25">
        <f>+(K359*10+L359*20)*12*30-S122</f>
        <v>0</v>
      </c>
      <c r="AT359" s="127">
        <f t="shared" ref="AT359:AT428" si="193">+S359-AS359</f>
        <v>5108558.1099999994</v>
      </c>
      <c r="AU359" s="127">
        <f>+P359-'[6]Приложение №1'!$P329</f>
        <v>202871.23878799938</v>
      </c>
      <c r="AV359" s="127">
        <f>+Q359-'[6]Приложение №1'!$Q329</f>
        <v>0</v>
      </c>
      <c r="AW359" s="63">
        <f t="shared" si="186"/>
        <v>23518468.540692292</v>
      </c>
      <c r="AX359" s="64">
        <v>8730606.6099999994</v>
      </c>
      <c r="AY359" s="64">
        <v>4797033.0694731697</v>
      </c>
      <c r="AZ359" s="64">
        <v>3230753.86</v>
      </c>
      <c r="BA359" s="64">
        <v>4393629.08</v>
      </c>
      <c r="BB359" s="64"/>
      <c r="BC359" s="64"/>
      <c r="BD359" s="64">
        <v>412170.11113972031</v>
      </c>
      <c r="BE359" s="64"/>
      <c r="BF359" s="64"/>
      <c r="BG359" s="64"/>
      <c r="BH359" s="64"/>
      <c r="BI359" s="97"/>
      <c r="BJ359" s="64">
        <v>205354.86105600002</v>
      </c>
      <c r="BK359" s="64">
        <v>24000</v>
      </c>
      <c r="BL359" s="96">
        <f>43868.9490234015+1681052</f>
        <v>1724920.9490234016</v>
      </c>
    </row>
    <row r="360" spans="1:64" x14ac:dyDescent="0.25">
      <c r="A360" s="141">
        <f t="shared" si="173"/>
        <v>342</v>
      </c>
      <c r="B360" s="142">
        <f t="shared" si="174"/>
        <v>154</v>
      </c>
      <c r="C360" s="62" t="s">
        <v>52</v>
      </c>
      <c r="D360" s="62" t="s">
        <v>730</v>
      </c>
      <c r="E360" s="123">
        <v>1968</v>
      </c>
      <c r="F360" s="123">
        <v>2013</v>
      </c>
      <c r="G360" s="123" t="s">
        <v>43</v>
      </c>
      <c r="H360" s="123">
        <v>4</v>
      </c>
      <c r="I360" s="123">
        <v>3</v>
      </c>
      <c r="J360" s="64">
        <v>2488.5</v>
      </c>
      <c r="K360" s="64">
        <v>2348.1999999999998</v>
      </c>
      <c r="L360" s="64">
        <v>69.599999999999994</v>
      </c>
      <c r="M360" s="124">
        <v>56</v>
      </c>
      <c r="N360" s="95">
        <f t="shared" si="179"/>
        <v>10486187.651386771</v>
      </c>
      <c r="O360" s="64"/>
      <c r="P360" s="65"/>
      <c r="Q360" s="65"/>
      <c r="R360" s="65">
        <f>+AQ360+AR360</f>
        <v>1502454.86</v>
      </c>
      <c r="S360" s="65">
        <f>+AS360</f>
        <v>8954640</v>
      </c>
      <c r="T360" s="64">
        <f>+'Приложение №2'!E369-'Приложение №1'!P360-'Приложение №1'!Q360-'Приложение №1'!R360-'Приложение №1'!S360</f>
        <v>29092.791386771947</v>
      </c>
      <c r="U360" s="65">
        <f t="shared" si="185"/>
        <v>4337.0781914909312</v>
      </c>
      <c r="V360" s="65">
        <f t="shared" si="185"/>
        <v>4337.0781914909312</v>
      </c>
      <c r="W360" s="126">
        <v>2023</v>
      </c>
      <c r="X360" s="127" t="e">
        <f>+#REF!-'[1]Приложение №1'!$P1315</f>
        <v>#REF!</v>
      </c>
      <c r="Z360" s="63">
        <f>SUM(AA360:AO360)</f>
        <v>5047649.354092991</v>
      </c>
      <c r="AA360" s="64">
        <v>0</v>
      </c>
      <c r="AB360" s="64">
        <v>2080965.3426794703</v>
      </c>
      <c r="AC360" s="64">
        <v>0</v>
      </c>
      <c r="AD360" s="64">
        <v>1397905.6390375202</v>
      </c>
      <c r="AE360" s="64">
        <v>1036272.8319720001</v>
      </c>
      <c r="AF360" s="64"/>
      <c r="AG360" s="64">
        <v>210866.25214200001</v>
      </c>
      <c r="AH360" s="64">
        <v>0</v>
      </c>
      <c r="AI360" s="64">
        <v>0</v>
      </c>
      <c r="AJ360" s="64">
        <v>0</v>
      </c>
      <c r="AK360" s="64">
        <v>0</v>
      </c>
      <c r="AL360" s="64">
        <v>0</v>
      </c>
      <c r="AM360" s="64">
        <v>173345.08000000002</v>
      </c>
      <c r="AN360" s="64">
        <v>44945.94</v>
      </c>
      <c r="AO360" s="66">
        <v>103348.268262</v>
      </c>
      <c r="AP360" s="128">
        <f>+N360-'Приложение №2'!E369</f>
        <v>0</v>
      </c>
      <c r="AQ360" s="23">
        <v>1248740.06</v>
      </c>
      <c r="AR360" s="25">
        <f t="shared" si="187"/>
        <v>253714.8</v>
      </c>
      <c r="AS360" s="25">
        <f>+(K360*10+L360*20)*12*30</f>
        <v>8954640</v>
      </c>
      <c r="AT360" s="127">
        <f t="shared" si="193"/>
        <v>0</v>
      </c>
      <c r="AU360" s="127">
        <f>+P360-'[6]Приложение №1'!$P330</f>
        <v>0</v>
      </c>
      <c r="AV360" s="127">
        <f>+Q360-'[6]Приложение №1'!$Q330</f>
        <v>0</v>
      </c>
      <c r="AW360" s="63">
        <f t="shared" si="186"/>
        <v>10486187.651386771</v>
      </c>
      <c r="AX360" s="64">
        <v>0</v>
      </c>
      <c r="AY360" s="64">
        <v>2080965.3426794703</v>
      </c>
      <c r="AZ360" s="64">
        <v>0</v>
      </c>
      <c r="BA360" s="64">
        <v>1397905.6390375202</v>
      </c>
      <c r="BB360" s="64"/>
      <c r="BC360" s="64"/>
      <c r="BD360" s="64"/>
      <c r="BE360" s="64">
        <v>0</v>
      </c>
      <c r="BF360" s="64">
        <v>0</v>
      </c>
      <c r="BG360" s="64">
        <v>0</v>
      </c>
      <c r="BH360" s="64">
        <v>0</v>
      </c>
      <c r="BI360" s="64">
        <v>5909986.0434617801</v>
      </c>
      <c r="BJ360" s="64">
        <v>518300.47000000003</v>
      </c>
      <c r="BK360" s="64"/>
      <c r="BL360" s="66">
        <f>19668.156208+559362</f>
        <v>579030.15620800003</v>
      </c>
    </row>
    <row r="361" spans="1:64" s="74" customFormat="1" x14ac:dyDescent="0.25">
      <c r="A361" s="141">
        <f t="shared" si="173"/>
        <v>343</v>
      </c>
      <c r="B361" s="142">
        <f t="shared" si="174"/>
        <v>155</v>
      </c>
      <c r="C361" s="62" t="s">
        <v>52</v>
      </c>
      <c r="D361" s="62" t="s">
        <v>733</v>
      </c>
      <c r="E361" s="123" t="s">
        <v>124</v>
      </c>
      <c r="F361" s="123"/>
      <c r="G361" s="123" t="s">
        <v>43</v>
      </c>
      <c r="H361" s="123" t="s">
        <v>105</v>
      </c>
      <c r="I361" s="123" t="s">
        <v>105</v>
      </c>
      <c r="J361" s="64">
        <v>2960.3</v>
      </c>
      <c r="K361" s="64">
        <v>2725</v>
      </c>
      <c r="L361" s="64">
        <v>0</v>
      </c>
      <c r="M361" s="124">
        <v>121</v>
      </c>
      <c r="N361" s="95">
        <f t="shared" si="179"/>
        <v>10333716.41731458</v>
      </c>
      <c r="O361" s="64">
        <v>0</v>
      </c>
      <c r="P361" s="65"/>
      <c r="Q361" s="65">
        <v>0</v>
      </c>
      <c r="R361" s="65">
        <f t="shared" ref="R361:R392" si="194">+AQ361+AR361</f>
        <v>1611087.2</v>
      </c>
      <c r="S361" s="65">
        <f>+'Приложение №2'!E370-'Приложение №1'!R361</f>
        <v>8722629.2173145805</v>
      </c>
      <c r="T361" s="65">
        <f>+'Приложение №2'!E370-'Приложение №1'!P361-'Приложение №1'!Q361-'Приложение №1'!R361-'Приложение №1'!S361</f>
        <v>0</v>
      </c>
      <c r="U361" s="64">
        <f t="shared" si="185"/>
        <v>3792.1895109411303</v>
      </c>
      <c r="V361" s="64">
        <f t="shared" si="185"/>
        <v>3792.1895109411303</v>
      </c>
      <c r="W361" s="126">
        <v>2023</v>
      </c>
      <c r="X361" s="74">
        <v>1033423.53</v>
      </c>
      <c r="Y361" s="74">
        <f>+(K361*9.1+L361*18.19)*12</f>
        <v>297570</v>
      </c>
      <c r="AA361" s="129">
        <f>+N361-'[5]Приложение № 2'!E312</f>
        <v>8987210.7173145805</v>
      </c>
      <c r="AD361" s="129">
        <f>+N361-'[5]Приложение № 2'!E312</f>
        <v>8987210.7173145805</v>
      </c>
      <c r="AP361" s="128">
        <f>+N361-'Приложение №2'!E370</f>
        <v>0</v>
      </c>
      <c r="AQ361" s="74">
        <v>1333137.2</v>
      </c>
      <c r="AR361" s="25">
        <f t="shared" si="187"/>
        <v>277950</v>
      </c>
      <c r="AS361" s="25">
        <f>+(K361*10+L361*20)*12*30</f>
        <v>9810000</v>
      </c>
      <c r="AT361" s="127">
        <f t="shared" si="193"/>
        <v>-1087370.7826854195</v>
      </c>
      <c r="AU361" s="127">
        <f>+P361-'[6]Приложение №1'!$P333</f>
        <v>-2155250.5499999993</v>
      </c>
      <c r="AV361" s="127">
        <f>+Q361-'[6]Приложение №1'!$Q333</f>
        <v>0</v>
      </c>
      <c r="AW361" s="63">
        <f t="shared" si="186"/>
        <v>10333716.41731458</v>
      </c>
      <c r="AX361" s="72"/>
      <c r="AY361" s="72"/>
      <c r="AZ361" s="72"/>
      <c r="BA361" s="64">
        <v>1613543.1522205768</v>
      </c>
      <c r="BB361" s="64"/>
      <c r="BC361" s="64"/>
      <c r="BD361" s="64"/>
      <c r="BE361" s="64"/>
      <c r="BF361" s="64"/>
      <c r="BG361" s="64"/>
      <c r="BH361" s="64"/>
      <c r="BI361" s="64">
        <v>7272213.9060160564</v>
      </c>
      <c r="BJ361" s="64">
        <v>742671.38934712671</v>
      </c>
      <c r="BK361" s="64">
        <v>43870.514143199995</v>
      </c>
      <c r="BL361" s="96">
        <v>661417.45558761922</v>
      </c>
    </row>
    <row r="362" spans="1:64" x14ac:dyDescent="0.25">
      <c r="A362" s="141">
        <f t="shared" si="173"/>
        <v>344</v>
      </c>
      <c r="B362" s="142">
        <f t="shared" si="174"/>
        <v>156</v>
      </c>
      <c r="C362" s="62" t="s">
        <v>52</v>
      </c>
      <c r="D362" s="62" t="s">
        <v>1051</v>
      </c>
      <c r="E362" s="123">
        <v>1975</v>
      </c>
      <c r="F362" s="123">
        <v>2013</v>
      </c>
      <c r="G362" s="123" t="s">
        <v>43</v>
      </c>
      <c r="H362" s="123">
        <v>4</v>
      </c>
      <c r="I362" s="123">
        <v>6</v>
      </c>
      <c r="J362" s="64">
        <v>5531.3</v>
      </c>
      <c r="K362" s="64">
        <v>4842.7</v>
      </c>
      <c r="L362" s="64">
        <v>189.7</v>
      </c>
      <c r="M362" s="124">
        <v>224</v>
      </c>
      <c r="N362" s="95">
        <f t="shared" si="179"/>
        <v>29643609.067062002</v>
      </c>
      <c r="O362" s="64"/>
      <c r="P362" s="65"/>
      <c r="Q362" s="65"/>
      <c r="R362" s="65">
        <v>730505.86</v>
      </c>
      <c r="S362" s="65">
        <v>4397608.2701599989</v>
      </c>
      <c r="T362" s="65">
        <f>+'Приложение №2'!E371-'Приложение №1'!P362-'Приложение №1'!R362-'Приложение №1'!S362</f>
        <v>24515494.936902002</v>
      </c>
      <c r="U362" s="64">
        <f t="shared" si="185"/>
        <v>5890.5510426559904</v>
      </c>
      <c r="V362" s="64">
        <f t="shared" si="185"/>
        <v>5890.5510426559904</v>
      </c>
      <c r="W362" s="126">
        <v>2023</v>
      </c>
      <c r="X362" s="127" t="e">
        <f>+#REF!-'[1]Приложение №1'!$P1106</f>
        <v>#REF!</v>
      </c>
      <c r="Z362" s="63">
        <f t="shared" ref="Z362:Z392" si="195">SUM(AA362:AO362)</f>
        <v>87511152.000000015</v>
      </c>
      <c r="AA362" s="64">
        <v>8013494.3878080007</v>
      </c>
      <c r="AB362" s="64">
        <v>4634422.8779520001</v>
      </c>
      <c r="AC362" s="64">
        <v>4898928.1239359993</v>
      </c>
      <c r="AD362" s="64">
        <v>3735474.3417600002</v>
      </c>
      <c r="AE362" s="64">
        <v>1492245.5325120001</v>
      </c>
      <c r="AF362" s="64"/>
      <c r="AG362" s="64">
        <v>398188.42560000002</v>
      </c>
      <c r="AH362" s="64">
        <v>0</v>
      </c>
      <c r="AI362" s="64">
        <v>14265240.0912</v>
      </c>
      <c r="AJ362" s="64">
        <v>0</v>
      </c>
      <c r="AK362" s="64">
        <v>27696044.559456002</v>
      </c>
      <c r="AL362" s="64">
        <v>10892499.105599999</v>
      </c>
      <c r="AM362" s="64">
        <v>8946956.6400000006</v>
      </c>
      <c r="AN362" s="65">
        <v>875111.52</v>
      </c>
      <c r="AO362" s="66">
        <v>1662546.394176</v>
      </c>
      <c r="AP362" s="128">
        <f>+N362-'Приложение №2'!E371</f>
        <v>0</v>
      </c>
      <c r="AQ362" s="23">
        <f>2505054.36-114158.29-322925.86</f>
        <v>2067970.21</v>
      </c>
      <c r="AR362" s="25">
        <f t="shared" si="187"/>
        <v>532654.19999999995</v>
      </c>
      <c r="AS362" s="25">
        <f>+(K362*10+L362*20)*12*30</f>
        <v>18799560</v>
      </c>
      <c r="AT362" s="127">
        <f t="shared" si="193"/>
        <v>-14401951.729840001</v>
      </c>
      <c r="AU362" s="127">
        <f>+P362-'[6]Приложение №1'!$P334</f>
        <v>-8083380.5966666685</v>
      </c>
      <c r="AV362" s="127">
        <f>+Q362-'[6]Приложение №1'!$Q334</f>
        <v>0</v>
      </c>
      <c r="AW362" s="63">
        <f t="shared" si="186"/>
        <v>29643609.067061998</v>
      </c>
      <c r="AX362" s="64"/>
      <c r="AY362" s="64">
        <v>5132408.83</v>
      </c>
      <c r="AZ362" s="64">
        <v>3542032.19</v>
      </c>
      <c r="BA362" s="64">
        <v>4284881.5390919996</v>
      </c>
      <c r="BB362" s="64"/>
      <c r="BC362" s="64"/>
      <c r="BD362" s="64"/>
      <c r="BE362" s="64">
        <v>0</v>
      </c>
      <c r="BF362" s="64">
        <v>15751030.220309999</v>
      </c>
      <c r="BG362" s="64">
        <v>0</v>
      </c>
      <c r="BH362" s="64"/>
      <c r="BI362" s="64"/>
      <c r="BJ362" s="64"/>
      <c r="BK362" s="65"/>
      <c r="BL362" s="66">
        <v>933256.28766000003</v>
      </c>
    </row>
    <row r="363" spans="1:64" x14ac:dyDescent="0.25">
      <c r="A363" s="141">
        <f t="shared" si="173"/>
        <v>345</v>
      </c>
      <c r="B363" s="142">
        <f t="shared" si="174"/>
        <v>157</v>
      </c>
      <c r="C363" s="62" t="s">
        <v>52</v>
      </c>
      <c r="D363" s="62" t="s">
        <v>768</v>
      </c>
      <c r="E363" s="123">
        <v>1984</v>
      </c>
      <c r="F363" s="123">
        <v>2013</v>
      </c>
      <c r="G363" s="123" t="s">
        <v>43</v>
      </c>
      <c r="H363" s="123">
        <v>5</v>
      </c>
      <c r="I363" s="123">
        <v>6</v>
      </c>
      <c r="J363" s="64">
        <v>7065.3</v>
      </c>
      <c r="K363" s="64">
        <v>6214.8</v>
      </c>
      <c r="L363" s="64">
        <v>0</v>
      </c>
      <c r="M363" s="124">
        <v>231</v>
      </c>
      <c r="N363" s="63">
        <f>SUM(O363:T363)</f>
        <v>62612290.587540276</v>
      </c>
      <c r="O363" s="64"/>
      <c r="P363" s="65">
        <v>5364377.79</v>
      </c>
      <c r="Q363" s="65"/>
      <c r="R363" s="65">
        <f>+AQ363+AR363</f>
        <v>4107609.7</v>
      </c>
      <c r="S363" s="65">
        <f>+AS363</f>
        <v>23491944</v>
      </c>
      <c r="T363" s="65">
        <f>+'Приложение №2'!E372-'Приложение №1'!P363-'Приложение №1'!R363-'Приложение №1'!S363</f>
        <v>29648359.097540274</v>
      </c>
      <c r="U363" s="65">
        <f>N363/K363</f>
        <v>10074.707245211475</v>
      </c>
      <c r="V363" s="65">
        <v>1340.2830200640001</v>
      </c>
      <c r="W363" s="126">
        <v>2023</v>
      </c>
      <c r="X363" s="127" t="e">
        <f>+#REF!-'[1]Приложение №1'!$P1107</f>
        <v>#REF!</v>
      </c>
      <c r="Z363" s="63">
        <f>SUM(AA363:AO363)</f>
        <v>77406979.776293278</v>
      </c>
      <c r="AA363" s="64">
        <v>10370296.47949386</v>
      </c>
      <c r="AB363" s="64">
        <v>5997425.9547111001</v>
      </c>
      <c r="AC363" s="64">
        <v>6339723.2965151407</v>
      </c>
      <c r="AD363" s="64">
        <v>4834092.9101480395</v>
      </c>
      <c r="AE363" s="64">
        <v>1931121.1633392</v>
      </c>
      <c r="AF363" s="64"/>
      <c r="AG363" s="64">
        <v>515297.3006874001</v>
      </c>
      <c r="AH363" s="64">
        <v>0</v>
      </c>
      <c r="AI363" s="64">
        <v>18460706.644925997</v>
      </c>
      <c r="AJ363" s="64">
        <v>0</v>
      </c>
      <c r="AK363" s="64"/>
      <c r="AL363" s="64">
        <v>14096028.4779699</v>
      </c>
      <c r="AM363" s="64">
        <v>11578293.868000001</v>
      </c>
      <c r="AN363" s="65">
        <v>1132485.4643999999</v>
      </c>
      <c r="AO363" s="66">
        <v>2151508.2161026397</v>
      </c>
      <c r="AP363" s="128">
        <f>+N363-'Приложение №2'!E372</f>
        <v>0</v>
      </c>
      <c r="AQ363" s="38">
        <v>3442004.62</v>
      </c>
      <c r="AR363" s="25">
        <f>+(K363*10.5+L363*21)*12*0.85</f>
        <v>665605.08000000007</v>
      </c>
      <c r="AS363" s="25">
        <f>+(K363*10.5+L363*21)*12*30</f>
        <v>23491944</v>
      </c>
      <c r="AT363" s="127">
        <f>+S363-AS363</f>
        <v>0</v>
      </c>
      <c r="AU363" s="127">
        <f>+P363-'[6]Приложение №1'!$P620</f>
        <v>-4381518.3852586551</v>
      </c>
      <c r="AV363" s="127">
        <f>+Q363-'[6]Приложение №1'!$Q620</f>
        <v>0</v>
      </c>
      <c r="AW363" s="88">
        <f>SUBTOTAL(9,AX363:BL363)</f>
        <v>64125760.002251379</v>
      </c>
      <c r="AX363" s="64">
        <v>11363498.130000001</v>
      </c>
      <c r="AY363" s="64">
        <v>5997425.9547111001</v>
      </c>
      <c r="AZ363" s="64">
        <v>6339723.2965151407</v>
      </c>
      <c r="BA363" s="64">
        <v>5243801.6900000004</v>
      </c>
      <c r="BB363" s="64"/>
      <c r="BC363" s="64"/>
      <c r="BD363" s="64">
        <v>515297.3006874001</v>
      </c>
      <c r="BE363" s="64">
        <v>0</v>
      </c>
      <c r="BF363" s="64">
        <v>18460706.644925997</v>
      </c>
      <c r="BG363" s="64">
        <v>0</v>
      </c>
      <c r="BH363" s="64"/>
      <c r="BI363" s="64">
        <v>14096028.4779699</v>
      </c>
      <c r="BJ363" s="64"/>
      <c r="BK363" s="65"/>
      <c r="BL363" s="66">
        <v>2109278.5074418397</v>
      </c>
    </row>
    <row r="364" spans="1:64" x14ac:dyDescent="0.25">
      <c r="A364" s="141">
        <f t="shared" si="173"/>
        <v>346</v>
      </c>
      <c r="B364" s="142">
        <f t="shared" si="174"/>
        <v>158</v>
      </c>
      <c r="C364" s="62" t="s">
        <v>52</v>
      </c>
      <c r="D364" s="62" t="s">
        <v>1052</v>
      </c>
      <c r="E364" s="123">
        <v>1974</v>
      </c>
      <c r="F364" s="123">
        <v>2013</v>
      </c>
      <c r="G364" s="123" t="s">
        <v>43</v>
      </c>
      <c r="H364" s="123">
        <v>4</v>
      </c>
      <c r="I364" s="123">
        <v>4</v>
      </c>
      <c r="J364" s="64">
        <v>3940.9</v>
      </c>
      <c r="K364" s="64">
        <v>3373.8</v>
      </c>
      <c r="L364" s="64">
        <v>212.7</v>
      </c>
      <c r="M364" s="124">
        <v>140</v>
      </c>
      <c r="N364" s="95">
        <f t="shared" si="179"/>
        <v>4587198.4862407399</v>
      </c>
      <c r="O364" s="64"/>
      <c r="P364" s="65">
        <f>+'Приложение №2'!E373-'Приложение №1'!S364</f>
        <v>2262618.4824814787</v>
      </c>
      <c r="Q364" s="65"/>
      <c r="R364" s="65">
        <f t="shared" si="194"/>
        <v>0</v>
      </c>
      <c r="S364" s="65">
        <f>+AS364</f>
        <v>2324580.0037592612</v>
      </c>
      <c r="T364" s="65"/>
      <c r="U364" s="64">
        <f t="shared" si="185"/>
        <v>1279.0181196823478</v>
      </c>
      <c r="V364" s="64">
        <f t="shared" si="185"/>
        <v>1279.0181196823478</v>
      </c>
      <c r="W364" s="126">
        <v>2023</v>
      </c>
      <c r="X364" s="127" t="e">
        <f>+#REF!-'[1]Приложение №1'!$P1306</f>
        <v>#REF!</v>
      </c>
      <c r="Z364" s="63">
        <f t="shared" si="195"/>
        <v>62533714.207893997</v>
      </c>
      <c r="AA364" s="64">
        <v>6056878.3300000001</v>
      </c>
      <c r="AB364" s="64">
        <v>3324136.3562038802</v>
      </c>
      <c r="AC364" s="64">
        <v>3513858.2605085401</v>
      </c>
      <c r="AD364" s="64">
        <v>2679346.7940094802</v>
      </c>
      <c r="AE364" s="64">
        <v>1070344.1973180603</v>
      </c>
      <c r="AF364" s="64"/>
      <c r="AG364" s="64">
        <v>285608.94385380001</v>
      </c>
      <c r="AH364" s="64">
        <v>0</v>
      </c>
      <c r="AI364" s="64">
        <v>10232040.652318798</v>
      </c>
      <c r="AJ364" s="64">
        <v>0</v>
      </c>
      <c r="AK364" s="64">
        <v>19865564.963811003</v>
      </c>
      <c r="AL364" s="64">
        <v>7812871.9105562996</v>
      </c>
      <c r="AM364" s="64">
        <v>5963728.8811999997</v>
      </c>
      <c r="AN364" s="65">
        <v>570673.40870000003</v>
      </c>
      <c r="AO364" s="66">
        <v>1158661.5094141401</v>
      </c>
      <c r="AP364" s="128">
        <f>+N364-'Приложение №2'!E373</f>
        <v>0</v>
      </c>
      <c r="AQ364" s="127">
        <f>1707386.79-112573.23-R132</f>
        <v>-387518.39999999991</v>
      </c>
      <c r="AR364" s="25">
        <f t="shared" si="187"/>
        <v>387518.39999999997</v>
      </c>
      <c r="AS364" s="25">
        <f>+(K364*10+L364*20)*12*30-810211.65-S132</f>
        <v>2324580.0037592612</v>
      </c>
      <c r="AT364" s="127">
        <f t="shared" si="193"/>
        <v>0</v>
      </c>
      <c r="AU364" s="127">
        <f>+P364-'[6]Приложение №1'!$P335</f>
        <v>2262618.4824814787</v>
      </c>
      <c r="AV364" s="127">
        <f>+Q364-'[6]Приложение №1'!$Q335</f>
        <v>0</v>
      </c>
      <c r="AW364" s="63">
        <f t="shared" si="186"/>
        <v>4587198.4862407399</v>
      </c>
      <c r="AX364" s="64"/>
      <c r="AY364" s="64">
        <v>1950514.3</v>
      </c>
      <c r="AZ364" s="64"/>
      <c r="BA364" s="64">
        <v>1578269.9</v>
      </c>
      <c r="BB364" s="64"/>
      <c r="BC364" s="64"/>
      <c r="BD364" s="64"/>
      <c r="BE364" s="64"/>
      <c r="BF364" s="64"/>
      <c r="BG364" s="64"/>
      <c r="BH364" s="64"/>
      <c r="BI364" s="64"/>
      <c r="BJ364" s="64"/>
      <c r="BK364" s="65"/>
      <c r="BL364" s="66">
        <v>1058414.2862407397</v>
      </c>
    </row>
    <row r="365" spans="1:64" x14ac:dyDescent="0.25">
      <c r="A365" s="141">
        <f t="shared" si="173"/>
        <v>347</v>
      </c>
      <c r="B365" s="142">
        <f t="shared" si="174"/>
        <v>159</v>
      </c>
      <c r="C365" s="62" t="s">
        <v>52</v>
      </c>
      <c r="D365" s="62" t="s">
        <v>707</v>
      </c>
      <c r="E365" s="123">
        <v>1977</v>
      </c>
      <c r="F365" s="123">
        <v>2013</v>
      </c>
      <c r="G365" s="123" t="s">
        <v>43</v>
      </c>
      <c r="H365" s="123">
        <v>9</v>
      </c>
      <c r="I365" s="123">
        <v>1</v>
      </c>
      <c r="J365" s="64">
        <v>2362.6</v>
      </c>
      <c r="K365" s="64">
        <v>1902.4</v>
      </c>
      <c r="L365" s="64">
        <v>195.5</v>
      </c>
      <c r="M365" s="124">
        <v>72</v>
      </c>
      <c r="N365" s="63">
        <f t="shared" si="179"/>
        <v>5272961.0065099401</v>
      </c>
      <c r="O365" s="64"/>
      <c r="P365" s="65">
        <v>2967693.21</v>
      </c>
      <c r="Q365" s="65"/>
      <c r="R365" s="65">
        <v>312117.43999999994</v>
      </c>
      <c r="S365" s="65">
        <f>+'Приложение №2'!E374-'Приложение №1'!P365-'Приложение №1'!Q365-'Приложение №1'!R365</f>
        <v>1993150.3565099402</v>
      </c>
      <c r="T365" s="64">
        <f>+'Приложение №2'!E374-'Приложение №1'!P365-'Приложение №1'!Q365-'Приложение №1'!R365-'Приложение №1'!S365</f>
        <v>0</v>
      </c>
      <c r="U365" s="65">
        <f t="shared" si="185"/>
        <v>2513.4472598836646</v>
      </c>
      <c r="V365" s="65">
        <f t="shared" si="185"/>
        <v>2513.4472598836646</v>
      </c>
      <c r="W365" s="126">
        <v>2023</v>
      </c>
      <c r="X365" s="127" t="e">
        <f>+#REF!-'[1]Приложение №1'!$P948</f>
        <v>#REF!</v>
      </c>
      <c r="Z365" s="63">
        <f t="shared" si="195"/>
        <v>28501175.670387998</v>
      </c>
      <c r="AA365" s="64">
        <v>3719699.05</v>
      </c>
      <c r="AB365" s="64">
        <v>2447938.8995804396</v>
      </c>
      <c r="AC365" s="64">
        <v>1490138.3398477801</v>
      </c>
      <c r="AD365" s="64">
        <v>1344414.3471276001</v>
      </c>
      <c r="AE365" s="64">
        <v>490934.10601116001</v>
      </c>
      <c r="AF365" s="64"/>
      <c r="AG365" s="64">
        <v>205256.04442223997</v>
      </c>
      <c r="AH365" s="64">
        <v>0</v>
      </c>
      <c r="AI365" s="64">
        <v>0</v>
      </c>
      <c r="AJ365" s="64">
        <v>0</v>
      </c>
      <c r="AK365" s="64">
        <v>15105792.339437097</v>
      </c>
      <c r="AL365" s="64">
        <v>0</v>
      </c>
      <c r="AM365" s="64">
        <v>2953956.3437999999</v>
      </c>
      <c r="AN365" s="65">
        <v>246262.91500000001</v>
      </c>
      <c r="AO365" s="66">
        <v>496783.28516168008</v>
      </c>
      <c r="AP365" s="128">
        <f>+N365-'Приложение №2'!E374</f>
        <v>0</v>
      </c>
      <c r="AQ365" s="127">
        <f>1288619.08-658887.88-R133</f>
        <v>629731.20000000007</v>
      </c>
      <c r="AR365" s="25">
        <f>+(K365*13.29+L365*22.52)*12*0.85</f>
        <v>302792.67119999998</v>
      </c>
      <c r="AS365" s="25">
        <f>+(K365*13.29+L365*22.52)*12*30-8648.871-S133</f>
        <v>8860770.8324900605</v>
      </c>
      <c r="AT365" s="127">
        <f t="shared" si="193"/>
        <v>-6867620.4759801198</v>
      </c>
      <c r="AW365" s="63">
        <f t="shared" si="186"/>
        <v>5272961.0065099401</v>
      </c>
      <c r="AX365" s="64">
        <v>3719699.05</v>
      </c>
      <c r="AY365" s="64">
        <v>1397547.49</v>
      </c>
      <c r="AZ365" s="64"/>
      <c r="BA365" s="64"/>
      <c r="BB365" s="64"/>
      <c r="BC365" s="64"/>
      <c r="BD365" s="64"/>
      <c r="BE365" s="64">
        <v>0</v>
      </c>
      <c r="BF365" s="64">
        <v>0</v>
      </c>
      <c r="BG365" s="64">
        <v>0</v>
      </c>
      <c r="BH365" s="64"/>
      <c r="BI365" s="64">
        <v>0</v>
      </c>
      <c r="BJ365" s="64"/>
      <c r="BK365" s="65"/>
      <c r="BL365" s="66">
        <v>155714.46650994002</v>
      </c>
    </row>
    <row r="366" spans="1:64" x14ac:dyDescent="0.25">
      <c r="A366" s="141">
        <f t="shared" si="173"/>
        <v>348</v>
      </c>
      <c r="B366" s="142">
        <f t="shared" si="174"/>
        <v>160</v>
      </c>
      <c r="C366" s="62" t="s">
        <v>52</v>
      </c>
      <c r="D366" s="62" t="s">
        <v>705</v>
      </c>
      <c r="E366" s="123">
        <v>1977</v>
      </c>
      <c r="F366" s="123">
        <v>2013</v>
      </c>
      <c r="G366" s="123" t="s">
        <v>43</v>
      </c>
      <c r="H366" s="123">
        <v>9</v>
      </c>
      <c r="I366" s="123">
        <v>1</v>
      </c>
      <c r="J366" s="64">
        <v>2365.9899999999998</v>
      </c>
      <c r="K366" s="64">
        <v>1903.5</v>
      </c>
      <c r="L366" s="64">
        <v>136</v>
      </c>
      <c r="M366" s="124">
        <v>70</v>
      </c>
      <c r="N366" s="63">
        <f t="shared" si="179"/>
        <v>5009037.9893955803</v>
      </c>
      <c r="O366" s="64"/>
      <c r="P366" s="65">
        <v>3041730.66</v>
      </c>
      <c r="Q366" s="65"/>
      <c r="R366" s="65"/>
      <c r="S366" s="65">
        <f>+'Приложение №2'!E375-'Приложение №1'!P366-'Приложение №1'!Q366-'Приложение №1'!R366</f>
        <v>1967307.3293955801</v>
      </c>
      <c r="T366" s="64">
        <f>+'Приложение №2'!E375-'Приложение №1'!P366-'Приложение №1'!Q366-'Приложение №1'!R366-'Приложение №1'!S366</f>
        <v>0</v>
      </c>
      <c r="U366" s="65">
        <f t="shared" si="185"/>
        <v>2456.0127430230841</v>
      </c>
      <c r="V366" s="65">
        <f t="shared" si="185"/>
        <v>2456.0127430230841</v>
      </c>
      <c r="W366" s="126">
        <v>2023</v>
      </c>
      <c r="X366" s="127" t="e">
        <f>+#REF!-'[1]Приложение №1'!$P950</f>
        <v>#REF!</v>
      </c>
      <c r="Z366" s="63">
        <f t="shared" si="195"/>
        <v>26854433.359999996</v>
      </c>
      <c r="AA366" s="64">
        <v>3681294.5645548799</v>
      </c>
      <c r="AB366" s="64">
        <v>2450899.70770344</v>
      </c>
      <c r="AC366" s="64">
        <v>0</v>
      </c>
      <c r="AD366" s="64">
        <v>1346040.4200070801</v>
      </c>
      <c r="AE366" s="64">
        <v>491527.90003842005</v>
      </c>
      <c r="AF366" s="64"/>
      <c r="AG366" s="64">
        <v>205504.30800059999</v>
      </c>
      <c r="AH366" s="64">
        <v>0</v>
      </c>
      <c r="AI366" s="64">
        <v>0</v>
      </c>
      <c r="AJ366" s="64">
        <v>0</v>
      </c>
      <c r="AK366" s="64">
        <v>15124062.916324738</v>
      </c>
      <c r="AL366" s="64">
        <v>0</v>
      </c>
      <c r="AM366" s="64">
        <v>2777050.0558000002</v>
      </c>
      <c r="AN366" s="65">
        <v>268544.33360000001</v>
      </c>
      <c r="AO366" s="66">
        <v>509509.15397084004</v>
      </c>
      <c r="AP366" s="128">
        <f>+N366-'Приложение №2'!E375</f>
        <v>0</v>
      </c>
      <c r="AQ366" s="25">
        <f>1333569.91-680973.2372-75663.69-R128</f>
        <v>398156.45340441982</v>
      </c>
      <c r="AR366" s="25">
        <f>+(K366*13.29+L366*22.52)*12*0.85</f>
        <v>289274.397</v>
      </c>
      <c r="AS366" s="25">
        <f>+(K366*13.29+L366*22.52)*12*30-6485.14-39928.49-S128</f>
        <v>9663087.5599999987</v>
      </c>
      <c r="AT366" s="127">
        <f t="shared" si="193"/>
        <v>-7695780.2306044186</v>
      </c>
      <c r="AW366" s="63">
        <f t="shared" si="186"/>
        <v>5463977.5993955806</v>
      </c>
      <c r="AX366" s="64">
        <v>3176406.16</v>
      </c>
      <c r="AY366" s="64">
        <v>1063489.17</v>
      </c>
      <c r="AZ366" s="64">
        <v>0</v>
      </c>
      <c r="BA366" s="64">
        <v>1045305.74</v>
      </c>
      <c r="BB366" s="64"/>
      <c r="BC366" s="64"/>
      <c r="BD366" s="64"/>
      <c r="BE366" s="64">
        <v>0</v>
      </c>
      <c r="BF366" s="64">
        <v>0</v>
      </c>
      <c r="BG366" s="64">
        <v>0</v>
      </c>
      <c r="BH366" s="64"/>
      <c r="BI366" s="64">
        <v>0</v>
      </c>
      <c r="BJ366" s="64"/>
      <c r="BK366" s="65"/>
      <c r="BL366" s="66">
        <v>178776.52939558003</v>
      </c>
    </row>
    <row r="367" spans="1:64" x14ac:dyDescent="0.25">
      <c r="A367" s="141">
        <f t="shared" si="173"/>
        <v>349</v>
      </c>
      <c r="B367" s="142">
        <f t="shared" si="174"/>
        <v>161</v>
      </c>
      <c r="C367" s="62" t="s">
        <v>52</v>
      </c>
      <c r="D367" s="62" t="s">
        <v>734</v>
      </c>
      <c r="E367" s="123">
        <v>1977</v>
      </c>
      <c r="F367" s="123">
        <v>2013</v>
      </c>
      <c r="G367" s="123" t="s">
        <v>43</v>
      </c>
      <c r="H367" s="123">
        <v>9</v>
      </c>
      <c r="I367" s="123">
        <v>1</v>
      </c>
      <c r="J367" s="64">
        <v>2366.89</v>
      </c>
      <c r="K367" s="64">
        <v>1904.8</v>
      </c>
      <c r="L367" s="64">
        <v>41.8</v>
      </c>
      <c r="M367" s="124">
        <v>59</v>
      </c>
      <c r="N367" s="63">
        <f t="shared" si="179"/>
        <v>6987925.6824397799</v>
      </c>
      <c r="O367" s="64"/>
      <c r="P367" s="65">
        <v>3841991.13</v>
      </c>
      <c r="Q367" s="65"/>
      <c r="R367" s="65">
        <v>228553.42</v>
      </c>
      <c r="S367" s="65">
        <f>+'Приложение №2'!E376-'Приложение №1'!P367-'Приложение №1'!R367</f>
        <v>2917381.13243978</v>
      </c>
      <c r="T367" s="65">
        <f>+'Приложение №2'!E376-'Приложение №1'!P367-'Приложение №1'!Q367-'Приложение №1'!R367-'Приложение №1'!S367</f>
        <v>0</v>
      </c>
      <c r="U367" s="65">
        <f t="shared" si="185"/>
        <v>3589.8107892940411</v>
      </c>
      <c r="V367" s="65">
        <f t="shared" si="185"/>
        <v>3589.8107892940411</v>
      </c>
      <c r="W367" s="126">
        <v>2023</v>
      </c>
      <c r="X367" s="127" t="e">
        <f>+#REF!-'[1]Приложение №1'!$P951</f>
        <v>#REF!</v>
      </c>
      <c r="Z367" s="63">
        <f t="shared" si="195"/>
        <v>28541976.041246004</v>
      </c>
      <c r="AA367" s="64">
        <v>3719699.05</v>
      </c>
      <c r="AB367" s="64">
        <v>2452058.27684286</v>
      </c>
      <c r="AC367" s="64">
        <v>1492645.9296378</v>
      </c>
      <c r="AD367" s="64">
        <v>1346676.7170788401</v>
      </c>
      <c r="AE367" s="64">
        <v>491760.24805782002</v>
      </c>
      <c r="AF367" s="64"/>
      <c r="AG367" s="64">
        <v>205601.44794671997</v>
      </c>
      <c r="AH367" s="64">
        <v>0</v>
      </c>
      <c r="AI367" s="64">
        <v>0</v>
      </c>
      <c r="AJ367" s="64">
        <v>0</v>
      </c>
      <c r="AK367" s="64">
        <v>15131212.272876842</v>
      </c>
      <c r="AL367" s="64">
        <v>0</v>
      </c>
      <c r="AM367" s="64">
        <v>2959194.6140999999</v>
      </c>
      <c r="AN367" s="65">
        <v>245562.47510000001</v>
      </c>
      <c r="AO367" s="66">
        <v>497565.00960512011</v>
      </c>
      <c r="AP367" s="128">
        <f>+N367-'Приложение №2'!E376</f>
        <v>0</v>
      </c>
      <c r="AQ367" s="23">
        <f>1227927.06-726007.6004</f>
        <v>501919.45960000006</v>
      </c>
      <c r="AR367" s="25">
        <f>+(K367*13.29+L367*22.52)*12*0.85</f>
        <v>267812.50559999997</v>
      </c>
      <c r="AS367" s="25">
        <f>+(K367*13.29+L367*22.52)*12*30-9115.31</f>
        <v>9443090.7699999977</v>
      </c>
      <c r="AT367" s="127">
        <f t="shared" si="193"/>
        <v>-6525709.6375602176</v>
      </c>
      <c r="AW367" s="63">
        <f t="shared" si="186"/>
        <v>6987925.6824397799</v>
      </c>
      <c r="AX367" s="64">
        <v>3719699.05</v>
      </c>
      <c r="AY367" s="64">
        <v>1063489.17</v>
      </c>
      <c r="AZ367" s="64">
        <v>740900.59</v>
      </c>
      <c r="BA367" s="64">
        <v>1307914.6300000001</v>
      </c>
      <c r="BB367" s="64"/>
      <c r="BC367" s="64"/>
      <c r="BD367" s="64"/>
      <c r="BE367" s="64">
        <v>0</v>
      </c>
      <c r="BF367" s="64">
        <v>0</v>
      </c>
      <c r="BG367" s="64">
        <v>0</v>
      </c>
      <c r="BH367" s="64"/>
      <c r="BI367" s="64">
        <v>0</v>
      </c>
      <c r="BJ367" s="64"/>
      <c r="BK367" s="65"/>
      <c r="BL367" s="66">
        <v>155922.24243978004</v>
      </c>
    </row>
    <row r="368" spans="1:64" x14ac:dyDescent="0.25">
      <c r="A368" s="141">
        <f t="shared" si="173"/>
        <v>350</v>
      </c>
      <c r="B368" s="142">
        <f t="shared" si="174"/>
        <v>162</v>
      </c>
      <c r="C368" s="62" t="s">
        <v>52</v>
      </c>
      <c r="D368" s="62" t="s">
        <v>1100</v>
      </c>
      <c r="E368" s="123">
        <v>1994</v>
      </c>
      <c r="F368" s="123">
        <v>2005</v>
      </c>
      <c r="G368" s="123" t="s">
        <v>43</v>
      </c>
      <c r="H368" s="123">
        <v>5</v>
      </c>
      <c r="I368" s="123">
        <v>2</v>
      </c>
      <c r="J368" s="64">
        <v>2052</v>
      </c>
      <c r="K368" s="64">
        <v>1876.9</v>
      </c>
      <c r="L368" s="64">
        <v>0</v>
      </c>
      <c r="M368" s="124">
        <v>80</v>
      </c>
      <c r="N368" s="63">
        <f>SUM(O368:T368)</f>
        <v>26806648.296708696</v>
      </c>
      <c r="O368" s="64"/>
      <c r="P368" s="65"/>
      <c r="Q368" s="65"/>
      <c r="R368" s="65">
        <f>+AQ368+AR368</f>
        <v>1312937.69</v>
      </c>
      <c r="S368" s="65">
        <f>+AS368</f>
        <v>7094682.0000000009</v>
      </c>
      <c r="T368" s="65">
        <f>+'Приложение №2'!E377-'Приложение №1'!P368-'Приложение №1'!R368-'Приложение №1'!S368</f>
        <v>18399028.606708694</v>
      </c>
      <c r="U368" s="65">
        <f>N368/K368</f>
        <v>14282.406253241352</v>
      </c>
      <c r="V368" s="65">
        <v>1336.2830200640001</v>
      </c>
      <c r="W368" s="126">
        <v>2023</v>
      </c>
      <c r="X368" s="127" t="e">
        <f>+#REF!-'[1]Приложение №1'!$P1104</f>
        <v>#REF!</v>
      </c>
      <c r="Z368" s="63">
        <f>SUM(AA368:AO368)</f>
        <v>30419518.07</v>
      </c>
      <c r="AA368" s="64">
        <v>4454647.7270950191</v>
      </c>
      <c r="AB368" s="64">
        <v>1587374.11791714</v>
      </c>
      <c r="AC368" s="64">
        <v>1658452.76095254</v>
      </c>
      <c r="AD368" s="64">
        <v>1038296.2829962799</v>
      </c>
      <c r="AE368" s="64">
        <v>635267.56802165997</v>
      </c>
      <c r="AF368" s="64"/>
      <c r="AG368" s="64">
        <v>170937.02604636003</v>
      </c>
      <c r="AH368" s="64">
        <v>0</v>
      </c>
      <c r="AI368" s="64">
        <v>8143773.8420052007</v>
      </c>
      <c r="AJ368" s="64">
        <v>0</v>
      </c>
      <c r="AK368" s="64">
        <v>4228285.0782631198</v>
      </c>
      <c r="AL368" s="64">
        <v>4560700.3930828199</v>
      </c>
      <c r="AM368" s="64">
        <v>3058573.6594000002</v>
      </c>
      <c r="AN368" s="65">
        <v>304195.18070000003</v>
      </c>
      <c r="AO368" s="66">
        <v>579014.43351986003</v>
      </c>
      <c r="AP368" s="128">
        <f>+N368-'Приложение №2'!E377</f>
        <v>0</v>
      </c>
      <c r="AQ368" s="23">
        <v>1111921.7</v>
      </c>
      <c r="AR368" s="25">
        <f>+(K368*10.5+L368*21)*12*0.85</f>
        <v>201015.99000000002</v>
      </c>
      <c r="AS368" s="25">
        <f>+(K368*10.5+L368*21)*12*30</f>
        <v>7094682.0000000009</v>
      </c>
      <c r="AT368" s="127">
        <f>+S368-AS368</f>
        <v>0</v>
      </c>
      <c r="AU368" s="127">
        <f>+P368-'[6]Приложение №1'!$P617</f>
        <v>-4373889.0319999987</v>
      </c>
      <c r="AV368" s="127">
        <f>+Q368-'[6]Приложение №1'!$Q617</f>
        <v>0</v>
      </c>
      <c r="AW368" s="88">
        <f>SUBTOTAL(9,AX368:BL368)</f>
        <v>26806648.296708696</v>
      </c>
      <c r="AX368" s="64">
        <v>4762837.5999999996</v>
      </c>
      <c r="AY368" s="64">
        <v>1587374.11791714</v>
      </c>
      <c r="AZ368" s="64">
        <v>1658452.76095254</v>
      </c>
      <c r="BA368" s="64">
        <v>1129165.06</v>
      </c>
      <c r="BB368" s="64"/>
      <c r="BC368" s="64"/>
      <c r="BD368" s="64">
        <v>170937.02604636003</v>
      </c>
      <c r="BE368" s="64">
        <v>0</v>
      </c>
      <c r="BF368" s="64">
        <v>8143773.8420052007</v>
      </c>
      <c r="BG368" s="64">
        <v>0</v>
      </c>
      <c r="BH368" s="64">
        <v>4228285.0782631198</v>
      </c>
      <c r="BI368" s="64">
        <v>4560700.3930828199</v>
      </c>
      <c r="BJ368" s="64"/>
      <c r="BK368" s="65"/>
      <c r="BL368" s="66">
        <v>565122.41844152007</v>
      </c>
    </row>
    <row r="369" spans="1:64" x14ac:dyDescent="0.25">
      <c r="A369" s="141">
        <f t="shared" si="173"/>
        <v>351</v>
      </c>
      <c r="B369" s="142">
        <f t="shared" si="174"/>
        <v>163</v>
      </c>
      <c r="C369" s="62" t="s">
        <v>52</v>
      </c>
      <c r="D369" s="62" t="s">
        <v>767</v>
      </c>
      <c r="E369" s="123">
        <v>1978</v>
      </c>
      <c r="F369" s="123">
        <v>2013</v>
      </c>
      <c r="G369" s="123" t="s">
        <v>43</v>
      </c>
      <c r="H369" s="123">
        <v>4</v>
      </c>
      <c r="I369" s="123">
        <v>4</v>
      </c>
      <c r="J369" s="64">
        <v>3933.3</v>
      </c>
      <c r="K369" s="64">
        <v>3440.6</v>
      </c>
      <c r="L369" s="64">
        <v>0</v>
      </c>
      <c r="M369" s="124">
        <v>158</v>
      </c>
      <c r="N369" s="63">
        <f t="shared" ref="N369" si="196">SUM(O369:T369)</f>
        <v>5600130.0100413999</v>
      </c>
      <c r="O369" s="64"/>
      <c r="P369" s="65"/>
      <c r="Q369" s="65"/>
      <c r="R369" s="65">
        <f t="shared" ref="R369" si="197">+AQ369+AR369</f>
        <v>2402977.5199999996</v>
      </c>
      <c r="S369" s="65">
        <f>+'Приложение №2'!E378-'Приложение №1'!R369</f>
        <v>3197152.4900414003</v>
      </c>
      <c r="T369" s="65">
        <v>0</v>
      </c>
      <c r="U369" s="65">
        <f t="shared" ref="U369" si="198">N369/K369</f>
        <v>1627.6608760220311</v>
      </c>
      <c r="V369" s="65">
        <v>1338.2830200640001</v>
      </c>
      <c r="W369" s="126">
        <v>2023</v>
      </c>
      <c r="X369" s="127" t="e">
        <f>+#REF!-'[1]Приложение №1'!$P848</f>
        <v>#REF!</v>
      </c>
      <c r="Z369" s="63">
        <f t="shared" ref="Z369" si="199">SUM(AA369:AO369)</f>
        <v>19368823.829999998</v>
      </c>
      <c r="AA369" s="64">
        <v>5746844.1079849806</v>
      </c>
      <c r="AB369" s="64">
        <v>3323557.0585698597</v>
      </c>
      <c r="AC369" s="64">
        <v>3513245.8927511401</v>
      </c>
      <c r="AD369" s="64">
        <v>2678879.85971676</v>
      </c>
      <c r="AE369" s="64">
        <v>1070157.6639255602</v>
      </c>
      <c r="AF369" s="64"/>
      <c r="AG369" s="64">
        <v>285559.1703006</v>
      </c>
      <c r="AH369" s="64">
        <v>0</v>
      </c>
      <c r="AI369" s="64">
        <v>0</v>
      </c>
      <c r="AJ369" s="64">
        <v>0</v>
      </c>
      <c r="AK369" s="64">
        <v>0</v>
      </c>
      <c r="AL369" s="64">
        <v>0</v>
      </c>
      <c r="AM369" s="64">
        <v>2193484.5052</v>
      </c>
      <c r="AN369" s="65">
        <v>193688.2383</v>
      </c>
      <c r="AO369" s="66">
        <v>363407.33325110003</v>
      </c>
      <c r="AP369" s="128">
        <f>+N369-'Приложение №2'!E378</f>
        <v>0</v>
      </c>
      <c r="AQ369" s="23">
        <f>2137015.38-102526.12</f>
        <v>2034489.2599999998</v>
      </c>
      <c r="AR369" s="25">
        <f t="shared" ref="AR369" si="200">+(K369*10.5+L369*21)*12*0.85</f>
        <v>368488.25999999995</v>
      </c>
      <c r="AS369" s="25">
        <f>+(K369*10.5+L369*21)*12*30</f>
        <v>13005468</v>
      </c>
      <c r="AT369" s="127">
        <f t="shared" ref="AT369" si="201">+S369-AS369</f>
        <v>-9808315.5099585988</v>
      </c>
      <c r="AU369" s="127">
        <f>+P369-'[6]Приложение №1'!$P362</f>
        <v>0</v>
      </c>
      <c r="AV369" s="127">
        <f>+Q369-'[6]Приложение №1'!$Q362</f>
        <v>0</v>
      </c>
      <c r="AW369" s="88">
        <f t="shared" ref="AW369" si="202">SUBTOTAL(9,AX369:BL369)</f>
        <v>7403620.8462693999</v>
      </c>
      <c r="AX369" s="64"/>
      <c r="AY369" s="64"/>
      <c r="AZ369" s="64">
        <v>3922818.876228</v>
      </c>
      <c r="BA369" s="64">
        <v>3084097.6605179999</v>
      </c>
      <c r="BB369" s="64"/>
      <c r="BC369" s="64"/>
      <c r="BD369" s="64"/>
      <c r="BE369" s="64">
        <v>0</v>
      </c>
      <c r="BF369" s="64">
        <v>0</v>
      </c>
      <c r="BG369" s="64">
        <v>0</v>
      </c>
      <c r="BH369" s="64">
        <v>0</v>
      </c>
      <c r="BI369" s="64">
        <v>0</v>
      </c>
      <c r="BJ369" s="64">
        <v>78950.87950000001</v>
      </c>
      <c r="BK369" s="65">
        <v>20977.589500000002</v>
      </c>
      <c r="BL369" s="66">
        <v>296775.84052339999</v>
      </c>
    </row>
    <row r="370" spans="1:64" x14ac:dyDescent="0.25">
      <c r="A370" s="141">
        <f t="shared" si="173"/>
        <v>352</v>
      </c>
      <c r="B370" s="142">
        <f t="shared" si="174"/>
        <v>164</v>
      </c>
      <c r="C370" s="62" t="s">
        <v>44</v>
      </c>
      <c r="D370" s="62" t="s">
        <v>774</v>
      </c>
      <c r="E370" s="123">
        <v>1969</v>
      </c>
      <c r="F370" s="123">
        <v>2013</v>
      </c>
      <c r="G370" s="123" t="s">
        <v>43</v>
      </c>
      <c r="H370" s="123">
        <v>4</v>
      </c>
      <c r="I370" s="123">
        <v>4</v>
      </c>
      <c r="J370" s="64">
        <v>3016.9</v>
      </c>
      <c r="K370" s="64">
        <v>2778.3</v>
      </c>
      <c r="L370" s="64">
        <v>0</v>
      </c>
      <c r="M370" s="124">
        <v>148</v>
      </c>
      <c r="N370" s="63">
        <f>SUM(O370:T370)</f>
        <v>2524095.1532999999</v>
      </c>
      <c r="O370" s="64"/>
      <c r="P370" s="65"/>
      <c r="Q370" s="65"/>
      <c r="R370" s="65">
        <f>+AQ370+AR370</f>
        <v>906051.78</v>
      </c>
      <c r="S370" s="65">
        <f>+'Приложение №2'!E379-'Приложение №1'!P370-'Приложение №1'!R370</f>
        <v>1618043.3732999999</v>
      </c>
      <c r="T370" s="65">
        <f>+'Приложение №2'!E379-'Приложение №1'!P370-'Приложение №1'!R370-'Приложение №1'!S370</f>
        <v>0</v>
      </c>
      <c r="U370" s="65">
        <f>N370/K370</f>
        <v>908.50345653817078</v>
      </c>
      <c r="V370" s="65">
        <v>1343.2830200640001</v>
      </c>
      <c r="W370" s="126">
        <v>2023</v>
      </c>
      <c r="X370" s="127" t="e">
        <f>+#REF!-'[1]Приложение №1'!$P1451</f>
        <v>#REF!</v>
      </c>
      <c r="Y370" s="23" t="s">
        <v>87</v>
      </c>
      <c r="Z370" s="63">
        <f>SUM(AA370:AO370)</f>
        <v>43468971.049999997</v>
      </c>
      <c r="AA370" s="64">
        <v>6634698.5656060204</v>
      </c>
      <c r="AB370" s="64">
        <v>2364215.8595970604</v>
      </c>
      <c r="AC370" s="64">
        <v>2470079.5170193799</v>
      </c>
      <c r="AD370" s="64">
        <v>0</v>
      </c>
      <c r="AE370" s="64">
        <v>946159.85291436012</v>
      </c>
      <c r="AF370" s="64"/>
      <c r="AG370" s="64">
        <v>254591.55199295998</v>
      </c>
      <c r="AH370" s="64">
        <v>0</v>
      </c>
      <c r="AI370" s="64">
        <v>12129238.4675742</v>
      </c>
      <c r="AJ370" s="64">
        <v>0</v>
      </c>
      <c r="AK370" s="64">
        <v>6297556.7640778795</v>
      </c>
      <c r="AL370" s="64">
        <v>6792652.1243855394</v>
      </c>
      <c r="AM370" s="64">
        <v>4316528.7305000005</v>
      </c>
      <c r="AN370" s="65">
        <v>434689.71049999999</v>
      </c>
      <c r="AO370" s="66">
        <v>828559.90583259996</v>
      </c>
      <c r="AP370" s="128">
        <f>+N370-'Приложение №2'!E379</f>
        <v>0</v>
      </c>
      <c r="AQ370" s="127">
        <f>1456293.05-R136</f>
        <v>608495.85</v>
      </c>
      <c r="AR370" s="25">
        <f>+(K370*10.5+L370*21)*12*0.85</f>
        <v>297555.93000000005</v>
      </c>
      <c r="AS370" s="25">
        <f>+(K370*10.5+L370*21)*12*30-7837046.47-R136</f>
        <v>1817130.3300000019</v>
      </c>
      <c r="AT370" s="127">
        <f>+S370-AS370</f>
        <v>-199086.95670000208</v>
      </c>
      <c r="AU370" s="127">
        <f>+P370-'[6]Приложение №1'!$P623</f>
        <v>-549981.94500000007</v>
      </c>
      <c r="AV370" s="127">
        <f>+Q370-'[6]Приложение №1'!$Q623</f>
        <v>0</v>
      </c>
      <c r="AW370" s="88">
        <f>SUBTOTAL(9,AX370:BL370)</f>
        <v>2524095.1532999999</v>
      </c>
      <c r="AX370" s="64"/>
      <c r="AY370" s="64"/>
      <c r="AZ370" s="64">
        <v>2470079.5170193799</v>
      </c>
      <c r="BA370" s="64">
        <v>0</v>
      </c>
      <c r="BB370" s="64"/>
      <c r="BC370" s="64"/>
      <c r="BD370" s="64"/>
      <c r="BE370" s="64"/>
      <c r="BF370" s="64"/>
      <c r="BG370" s="64"/>
      <c r="BH370" s="64"/>
      <c r="BI370" s="64"/>
      <c r="BJ370" s="64"/>
      <c r="BK370" s="65"/>
      <c r="BL370" s="66">
        <v>54015.636280620005</v>
      </c>
    </row>
    <row r="371" spans="1:64" x14ac:dyDescent="0.25">
      <c r="A371" s="141">
        <f t="shared" si="173"/>
        <v>353</v>
      </c>
      <c r="B371" s="142">
        <f t="shared" si="174"/>
        <v>165</v>
      </c>
      <c r="C371" s="62" t="s">
        <v>44</v>
      </c>
      <c r="D371" s="62" t="s">
        <v>776</v>
      </c>
      <c r="E371" s="123">
        <v>1962</v>
      </c>
      <c r="F371" s="123">
        <v>1962</v>
      </c>
      <c r="G371" s="123" t="s">
        <v>43</v>
      </c>
      <c r="H371" s="123">
        <v>2</v>
      </c>
      <c r="I371" s="123">
        <v>1</v>
      </c>
      <c r="J371" s="64">
        <v>618.70000000000005</v>
      </c>
      <c r="K371" s="64">
        <v>460.5</v>
      </c>
      <c r="L371" s="64">
        <v>0</v>
      </c>
      <c r="M371" s="124">
        <v>45</v>
      </c>
      <c r="N371" s="63">
        <f>SUM(O371:T371)</f>
        <v>420332.95579999994</v>
      </c>
      <c r="O371" s="64"/>
      <c r="P371" s="65">
        <v>0</v>
      </c>
      <c r="Q371" s="65"/>
      <c r="R371" s="65">
        <v>0</v>
      </c>
      <c r="S371" s="65">
        <f>+'Приложение №2'!E380-'Приложение №1'!R371</f>
        <v>420332.95579999994</v>
      </c>
      <c r="T371" s="65">
        <f>+'Приложение №2'!E380-'Приложение №1'!P371-'Приложение №1'!R371-'Приложение №1'!S371</f>
        <v>0</v>
      </c>
      <c r="U371" s="65">
        <f>N371/K371</f>
        <v>912.7751483170465</v>
      </c>
      <c r="V371" s="65">
        <v>1344.2830200640001</v>
      </c>
      <c r="W371" s="126">
        <v>2023</v>
      </c>
      <c r="X371" s="127" t="e">
        <f>+#REF!-'[1]Приложение №1'!$P977</f>
        <v>#REF!</v>
      </c>
      <c r="Z371" s="63">
        <f>SUM(AA371:AO371)</f>
        <v>6521557.4500000002</v>
      </c>
      <c r="AA371" s="64">
        <v>0</v>
      </c>
      <c r="AB371" s="64">
        <v>875995.49980991997</v>
      </c>
      <c r="AC371" s="64">
        <v>411337.83054587996</v>
      </c>
      <c r="AD371" s="64">
        <v>350714.74954488</v>
      </c>
      <c r="AE371" s="64">
        <v>0</v>
      </c>
      <c r="AF371" s="64"/>
      <c r="AG371" s="64">
        <v>0</v>
      </c>
      <c r="AH371" s="64">
        <v>0</v>
      </c>
      <c r="AI371" s="64">
        <v>4074971.6952377995</v>
      </c>
      <c r="AJ371" s="64">
        <v>0</v>
      </c>
      <c r="AK371" s="64">
        <v>0</v>
      </c>
      <c r="AL371" s="64">
        <v>0</v>
      </c>
      <c r="AM371" s="64">
        <v>618389.92870000005</v>
      </c>
      <c r="AN371" s="65">
        <v>65215.574499999995</v>
      </c>
      <c r="AO371" s="66">
        <v>124932.17166151998</v>
      </c>
      <c r="AP371" s="128">
        <f>+N371-'Приложение №2'!E380</f>
        <v>0</v>
      </c>
      <c r="AQ371" s="127">
        <f>248516.58-R138</f>
        <v>-4385.1700000000128</v>
      </c>
      <c r="AR371" s="25">
        <f>+(K371*10.5+L371*21)*12*0.85</f>
        <v>49319.549999999996</v>
      </c>
      <c r="AS371" s="25">
        <f>+(K371*10.5+L371*21)*12*30-R138</f>
        <v>1487788.25</v>
      </c>
      <c r="AT371" s="127">
        <f>+S371-AS371</f>
        <v>-1067455.2942000001</v>
      </c>
      <c r="AU371" s="127">
        <f>+P371-'[6]Приложение №1'!$P624</f>
        <v>0</v>
      </c>
      <c r="AV371" s="127">
        <f>+Q371-'[6]Приложение №1'!$Q624</f>
        <v>0</v>
      </c>
      <c r="AW371" s="88">
        <f>SUBTOTAL(9,AX371:BL371)</f>
        <v>420332.95579999994</v>
      </c>
      <c r="AX371" s="64">
        <v>0</v>
      </c>
      <c r="AY371" s="64"/>
      <c r="AZ371" s="64">
        <v>411337.83054587996</v>
      </c>
      <c r="BA371" s="64"/>
      <c r="BB371" s="64">
        <v>0</v>
      </c>
      <c r="BC371" s="64"/>
      <c r="BD371" s="64"/>
      <c r="BE371" s="64">
        <v>0</v>
      </c>
      <c r="BF371" s="64"/>
      <c r="BG371" s="64">
        <v>0</v>
      </c>
      <c r="BH371" s="64">
        <v>0</v>
      </c>
      <c r="BI371" s="64">
        <v>0</v>
      </c>
      <c r="BJ371" s="64"/>
      <c r="BK371" s="65"/>
      <c r="BL371" s="66">
        <v>8995.1252541199992</v>
      </c>
    </row>
    <row r="372" spans="1:64" x14ac:dyDescent="0.25">
      <c r="A372" s="141">
        <f t="shared" si="173"/>
        <v>354</v>
      </c>
      <c r="B372" s="142">
        <f t="shared" si="174"/>
        <v>166</v>
      </c>
      <c r="C372" s="62" t="s">
        <v>53</v>
      </c>
      <c r="D372" s="23" t="s">
        <v>168</v>
      </c>
      <c r="E372" s="29" t="s">
        <v>501</v>
      </c>
      <c r="G372" s="123" t="s">
        <v>43</v>
      </c>
      <c r="H372" s="29" t="s">
        <v>98</v>
      </c>
      <c r="I372" s="29" t="s">
        <v>98</v>
      </c>
      <c r="J372" s="23">
        <v>670.37</v>
      </c>
      <c r="K372" s="23">
        <v>618.66</v>
      </c>
      <c r="L372" s="23">
        <v>0</v>
      </c>
      <c r="M372" s="23">
        <v>30</v>
      </c>
      <c r="N372" s="63">
        <f t="shared" ref="N372:N380" si="203">SUM(O372:T372)</f>
        <v>5210797.0075652357</v>
      </c>
      <c r="P372" s="65"/>
      <c r="Q372" s="65">
        <v>507855.52</v>
      </c>
      <c r="R372" s="65">
        <f>+AQ372+AR372</f>
        <v>407532.25599999999</v>
      </c>
      <c r="S372" s="65">
        <f>+AS372</f>
        <v>2338534.7999999998</v>
      </c>
      <c r="T372" s="65">
        <v>1956874.4315652363</v>
      </c>
      <c r="U372" s="65">
        <f t="shared" ref="U372:V380" si="204">$N372/($K372+$L372)</f>
        <v>8422.7152354528116</v>
      </c>
      <c r="V372" s="65">
        <f t="shared" si="204"/>
        <v>8422.7152354528116</v>
      </c>
      <c r="W372" s="126">
        <v>2023</v>
      </c>
      <c r="X372" s="127"/>
      <c r="Z372" s="63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5"/>
      <c r="AO372" s="66"/>
      <c r="AP372" s="128"/>
      <c r="AQ372" s="23">
        <v>341273.77</v>
      </c>
      <c r="AR372" s="25">
        <v>66258.48599999999</v>
      </c>
      <c r="AS372" s="25">
        <v>2338534.7999999998</v>
      </c>
      <c r="AT372" s="127"/>
      <c r="AW372" s="63">
        <f t="shared" ref="AW372:AW380" si="205">SUM(AX372:BL372)</f>
        <v>5210797.0075652357</v>
      </c>
      <c r="BH372" s="64">
        <v>5091457.1516033392</v>
      </c>
      <c r="BJ372" s="64"/>
      <c r="BK372" s="65">
        <v>8000</v>
      </c>
      <c r="BL372" s="66">
        <v>111339.85596189606</v>
      </c>
    </row>
    <row r="373" spans="1:64" x14ac:dyDescent="0.25">
      <c r="A373" s="141">
        <f t="shared" si="173"/>
        <v>355</v>
      </c>
      <c r="B373" s="142">
        <f t="shared" si="174"/>
        <v>167</v>
      </c>
      <c r="C373" s="62" t="s">
        <v>53</v>
      </c>
      <c r="D373" s="23" t="s">
        <v>173</v>
      </c>
      <c r="E373" s="29" t="s">
        <v>502</v>
      </c>
      <c r="G373" s="123" t="s">
        <v>43</v>
      </c>
      <c r="H373" s="29" t="s">
        <v>98</v>
      </c>
      <c r="I373" s="29" t="s">
        <v>98</v>
      </c>
      <c r="J373" s="23">
        <v>706.48</v>
      </c>
      <c r="K373" s="23">
        <v>667.89</v>
      </c>
      <c r="L373" s="23">
        <v>0</v>
      </c>
      <c r="M373" s="23">
        <v>23</v>
      </c>
      <c r="N373" s="63">
        <f t="shared" si="203"/>
        <v>5624810.6769190598</v>
      </c>
      <c r="P373" s="65"/>
      <c r="Q373" s="65">
        <v>507855.56</v>
      </c>
      <c r="R373" s="65">
        <f t="shared" ref="R373:R380" si="206">+AQ373+AR373</f>
        <v>453010.64899999998</v>
      </c>
      <c r="S373" s="65">
        <f t="shared" ref="S373:S380" si="207">+AS373</f>
        <v>2524624.2000000002</v>
      </c>
      <c r="T373" s="65">
        <v>2139320.2679190598</v>
      </c>
      <c r="U373" s="65">
        <f t="shared" si="204"/>
        <v>8421.7620819581971</v>
      </c>
      <c r="V373" s="65">
        <f t="shared" si="204"/>
        <v>8421.7620819581971</v>
      </c>
      <c r="W373" s="126">
        <v>2023</v>
      </c>
      <c r="X373" s="127"/>
      <c r="Z373" s="63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5"/>
      <c r="AO373" s="66"/>
      <c r="AP373" s="128"/>
      <c r="AQ373" s="23">
        <v>381479.63</v>
      </c>
      <c r="AR373" s="25">
        <v>71531.019</v>
      </c>
      <c r="AS373" s="25">
        <v>2524624.2000000002</v>
      </c>
      <c r="AT373" s="127"/>
      <c r="AW373" s="63">
        <f t="shared" si="205"/>
        <v>5624810.6769190598</v>
      </c>
      <c r="BH373" s="64">
        <v>5496610.9284329917</v>
      </c>
      <c r="BJ373" s="64"/>
      <c r="BK373" s="65">
        <v>8000</v>
      </c>
      <c r="BL373" s="66">
        <v>120199.7484860679</v>
      </c>
    </row>
    <row r="374" spans="1:64" x14ac:dyDescent="0.25">
      <c r="A374" s="141">
        <f t="shared" si="173"/>
        <v>356</v>
      </c>
      <c r="B374" s="142">
        <f t="shared" si="174"/>
        <v>168</v>
      </c>
      <c r="C374" s="62" t="s">
        <v>53</v>
      </c>
      <c r="D374" s="23" t="s">
        <v>174</v>
      </c>
      <c r="E374" s="29" t="s">
        <v>502</v>
      </c>
      <c r="G374" s="123" t="s">
        <v>43</v>
      </c>
      <c r="H374" s="29" t="s">
        <v>98</v>
      </c>
      <c r="I374" s="29" t="s">
        <v>98</v>
      </c>
      <c r="J374" s="23">
        <v>685.95</v>
      </c>
      <c r="K374" s="23">
        <v>641.14</v>
      </c>
      <c r="L374" s="23">
        <v>0</v>
      </c>
      <c r="M374" s="23">
        <v>27</v>
      </c>
      <c r="N374" s="63">
        <f t="shared" si="203"/>
        <v>5399848.9532705778</v>
      </c>
      <c r="P374" s="65"/>
      <c r="Q374" s="65">
        <v>507855.56</v>
      </c>
      <c r="R374" s="65">
        <f t="shared" si="206"/>
        <v>443185.72399999999</v>
      </c>
      <c r="S374" s="65">
        <f t="shared" si="207"/>
        <v>2423509.2000000002</v>
      </c>
      <c r="T374" s="65">
        <v>2025298.4692705777</v>
      </c>
      <c r="U374" s="65">
        <f t="shared" si="204"/>
        <v>8422.2618355906325</v>
      </c>
      <c r="V374" s="65">
        <f t="shared" si="204"/>
        <v>8422.2618355906325</v>
      </c>
      <c r="W374" s="126">
        <v>2023</v>
      </c>
      <c r="X374" s="127"/>
      <c r="Z374" s="63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5"/>
      <c r="AO374" s="66"/>
      <c r="AP374" s="128"/>
      <c r="AQ374" s="23">
        <v>374519.63</v>
      </c>
      <c r="AR374" s="25">
        <v>68666.093999999997</v>
      </c>
      <c r="AS374" s="25">
        <v>2423509.2000000002</v>
      </c>
      <c r="AT374" s="127"/>
      <c r="AW374" s="63">
        <f t="shared" si="205"/>
        <v>5399848.9532705778</v>
      </c>
      <c r="BH374" s="64">
        <v>5276463.3856705874</v>
      </c>
      <c r="BJ374" s="64"/>
      <c r="BK374" s="65">
        <v>8000</v>
      </c>
      <c r="BL374" s="66">
        <v>115385.56759999036</v>
      </c>
    </row>
    <row r="375" spans="1:64" x14ac:dyDescent="0.25">
      <c r="A375" s="141">
        <f t="shared" si="173"/>
        <v>357</v>
      </c>
      <c r="B375" s="142">
        <f t="shared" si="174"/>
        <v>169</v>
      </c>
      <c r="C375" s="62" t="s">
        <v>53</v>
      </c>
      <c r="D375" s="23" t="s">
        <v>176</v>
      </c>
      <c r="E375" s="29" t="s">
        <v>500</v>
      </c>
      <c r="G375" s="123" t="s">
        <v>43</v>
      </c>
      <c r="H375" s="29" t="s">
        <v>98</v>
      </c>
      <c r="I375" s="29" t="s">
        <v>98</v>
      </c>
      <c r="J375" s="23">
        <v>785.98</v>
      </c>
      <c r="K375" s="23">
        <v>722.6</v>
      </c>
      <c r="L375" s="23">
        <v>0</v>
      </c>
      <c r="M375" s="23">
        <v>29</v>
      </c>
      <c r="N375" s="63">
        <f t="shared" si="203"/>
        <v>6084909.9629305918</v>
      </c>
      <c r="P375" s="65"/>
      <c r="Q375" s="65">
        <v>507855.56</v>
      </c>
      <c r="R375" s="65">
        <f t="shared" si="206"/>
        <v>485984.45</v>
      </c>
      <c r="S375" s="65">
        <f t="shared" si="207"/>
        <v>2731428</v>
      </c>
      <c r="T375" s="65">
        <v>2359641.952930592</v>
      </c>
      <c r="U375" s="65">
        <f t="shared" si="204"/>
        <v>8420.8551936487565</v>
      </c>
      <c r="V375" s="65">
        <f t="shared" si="204"/>
        <v>8420.8551936487565</v>
      </c>
      <c r="W375" s="126">
        <v>2023</v>
      </c>
      <c r="X375" s="127"/>
      <c r="Z375" s="63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5"/>
      <c r="AO375" s="66"/>
      <c r="AP375" s="128"/>
      <c r="AQ375" s="23">
        <v>408593.99</v>
      </c>
      <c r="AR375" s="25">
        <v>77390.460000000006</v>
      </c>
      <c r="AS375" s="25">
        <v>2731428</v>
      </c>
      <c r="AT375" s="127"/>
      <c r="AW375" s="63">
        <f t="shared" si="205"/>
        <v>6084909.9629305918</v>
      </c>
      <c r="BH375" s="64">
        <v>5946864.0897238767</v>
      </c>
      <c r="BJ375" s="64"/>
      <c r="BK375" s="65">
        <v>8000</v>
      </c>
      <c r="BL375" s="66">
        <v>130045.87320671468</v>
      </c>
    </row>
    <row r="376" spans="1:64" x14ac:dyDescent="0.25">
      <c r="A376" s="141">
        <f t="shared" si="173"/>
        <v>358</v>
      </c>
      <c r="B376" s="142">
        <f t="shared" si="174"/>
        <v>170</v>
      </c>
      <c r="C376" s="62" t="s">
        <v>53</v>
      </c>
      <c r="D376" s="23" t="s">
        <v>177</v>
      </c>
      <c r="E376" s="29" t="s">
        <v>500</v>
      </c>
      <c r="G376" s="123" t="s">
        <v>43</v>
      </c>
      <c r="H376" s="29" t="s">
        <v>98</v>
      </c>
      <c r="I376" s="29" t="s">
        <v>98</v>
      </c>
      <c r="J376" s="23">
        <v>691.94</v>
      </c>
      <c r="K376" s="23">
        <v>653.61</v>
      </c>
      <c r="L376" s="23">
        <v>0</v>
      </c>
      <c r="M376" s="23">
        <v>26</v>
      </c>
      <c r="N376" s="63">
        <f t="shared" si="203"/>
        <v>5504718.9605190475</v>
      </c>
      <c r="P376" s="65"/>
      <c r="Q376" s="65">
        <v>507855.56</v>
      </c>
      <c r="R376" s="65">
        <f t="shared" si="206"/>
        <v>466108.951</v>
      </c>
      <c r="S376" s="65">
        <f t="shared" si="207"/>
        <v>2470645.7999999998</v>
      </c>
      <c r="T376" s="65">
        <v>2060108.6495190477</v>
      </c>
      <c r="U376" s="65">
        <f t="shared" si="204"/>
        <v>8422.0237764401518</v>
      </c>
      <c r="V376" s="65">
        <f t="shared" si="204"/>
        <v>8422.0237764401518</v>
      </c>
      <c r="W376" s="126">
        <v>2023</v>
      </c>
      <c r="X376" s="127"/>
      <c r="Z376" s="63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5"/>
      <c r="AO376" s="66"/>
      <c r="AP376" s="128"/>
      <c r="AQ376" s="23">
        <v>396107.32</v>
      </c>
      <c r="AR376" s="25">
        <v>70001.630999999994</v>
      </c>
      <c r="AS376" s="25">
        <v>2470645.7999999998</v>
      </c>
      <c r="AT376" s="127"/>
      <c r="AW376" s="63">
        <f t="shared" si="205"/>
        <v>5504718.9605190475</v>
      </c>
      <c r="BH376" s="64">
        <v>5379089.1747639403</v>
      </c>
      <c r="BJ376" s="64"/>
      <c r="BK376" s="65">
        <v>8000</v>
      </c>
      <c r="BL376" s="66">
        <v>117629.78575510764</v>
      </c>
    </row>
    <row r="377" spans="1:64" x14ac:dyDescent="0.25">
      <c r="A377" s="141">
        <f t="shared" si="173"/>
        <v>359</v>
      </c>
      <c r="B377" s="142">
        <f t="shared" si="174"/>
        <v>171</v>
      </c>
      <c r="C377" s="62" t="s">
        <v>53</v>
      </c>
      <c r="D377" s="23" t="s">
        <v>178</v>
      </c>
      <c r="E377" s="29" t="s">
        <v>503</v>
      </c>
      <c r="G377" s="123" t="s">
        <v>43</v>
      </c>
      <c r="H377" s="29" t="s">
        <v>98</v>
      </c>
      <c r="I377" s="29" t="s">
        <v>98</v>
      </c>
      <c r="J377" s="23">
        <v>681.08</v>
      </c>
      <c r="K377" s="23">
        <v>633.24</v>
      </c>
      <c r="L377" s="23">
        <v>0</v>
      </c>
      <c r="M377" s="23">
        <v>30</v>
      </c>
      <c r="N377" s="63">
        <f t="shared" si="203"/>
        <v>5333411.6591837369</v>
      </c>
      <c r="P377" s="65"/>
      <c r="Q377" s="65">
        <v>507855.56</v>
      </c>
      <c r="R377" s="65">
        <f t="shared" si="206"/>
        <v>436552.53400000004</v>
      </c>
      <c r="S377" s="65">
        <f t="shared" si="207"/>
        <v>2393647.2000000002</v>
      </c>
      <c r="T377" s="65">
        <v>1995356.3651837371</v>
      </c>
      <c r="U377" s="65">
        <f t="shared" si="204"/>
        <v>8422.4175023430871</v>
      </c>
      <c r="V377" s="65">
        <f t="shared" si="204"/>
        <v>8422.4175023430871</v>
      </c>
      <c r="W377" s="126">
        <v>2023</v>
      </c>
      <c r="X377" s="127"/>
      <c r="Z377" s="63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5"/>
      <c r="AO377" s="66"/>
      <c r="AP377" s="128"/>
      <c r="AQ377" s="23">
        <v>368732.53</v>
      </c>
      <c r="AR377" s="25">
        <v>67820.004000000001</v>
      </c>
      <c r="AS377" s="25">
        <v>2393647.2000000002</v>
      </c>
      <c r="AT377" s="127"/>
      <c r="AW377" s="63">
        <f t="shared" si="205"/>
        <v>5333411.6591837369</v>
      </c>
      <c r="BH377" s="64">
        <v>5211447.8496772051</v>
      </c>
      <c r="BJ377" s="64"/>
      <c r="BK377" s="65">
        <v>8000</v>
      </c>
      <c r="BL377" s="66">
        <v>113963.80950653198</v>
      </c>
    </row>
    <row r="378" spans="1:64" x14ac:dyDescent="0.25">
      <c r="A378" s="141">
        <f t="shared" si="173"/>
        <v>360</v>
      </c>
      <c r="B378" s="142">
        <f t="shared" si="174"/>
        <v>172</v>
      </c>
      <c r="C378" s="62" t="s">
        <v>53</v>
      </c>
      <c r="D378" s="23" t="s">
        <v>165</v>
      </c>
      <c r="E378" s="29" t="s">
        <v>115</v>
      </c>
      <c r="G378" s="123" t="s">
        <v>43</v>
      </c>
      <c r="H378" s="29" t="s">
        <v>98</v>
      </c>
      <c r="I378" s="29" t="s">
        <v>98</v>
      </c>
      <c r="J378" s="23">
        <v>799.54</v>
      </c>
      <c r="K378" s="23">
        <v>733.52</v>
      </c>
      <c r="L378" s="23">
        <v>0</v>
      </c>
      <c r="M378" s="23">
        <v>29</v>
      </c>
      <c r="N378" s="63">
        <f t="shared" si="203"/>
        <v>6176744.8048835434</v>
      </c>
      <c r="P378" s="65"/>
      <c r="Q378" s="65">
        <v>507855.56</v>
      </c>
      <c r="R378" s="65">
        <f t="shared" si="206"/>
        <v>461470.00199999998</v>
      </c>
      <c r="S378" s="65">
        <f t="shared" si="207"/>
        <v>2772705.6</v>
      </c>
      <c r="T378" s="65">
        <v>2434713.6428835434</v>
      </c>
      <c r="U378" s="65">
        <f t="shared" si="204"/>
        <v>8420.6903763817536</v>
      </c>
      <c r="V378" s="65">
        <f t="shared" si="204"/>
        <v>8420.6903763817536</v>
      </c>
      <c r="W378" s="126">
        <v>2023</v>
      </c>
      <c r="X378" s="127"/>
      <c r="Z378" s="63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5"/>
      <c r="AO378" s="66"/>
      <c r="AP378" s="128"/>
      <c r="AQ378" s="23">
        <v>382910.01</v>
      </c>
      <c r="AR378" s="25">
        <v>78559.991999999998</v>
      </c>
      <c r="AS378" s="25">
        <v>2772705.6</v>
      </c>
      <c r="AT378" s="127"/>
      <c r="AW378" s="63">
        <f t="shared" si="205"/>
        <v>6176744.8048835434</v>
      </c>
      <c r="BH378" s="64">
        <v>6036733.6660590358</v>
      </c>
      <c r="BJ378" s="64"/>
      <c r="BK378" s="65">
        <v>8000</v>
      </c>
      <c r="BL378" s="66">
        <v>132011.13882450783</v>
      </c>
    </row>
    <row r="379" spans="1:64" x14ac:dyDescent="0.25">
      <c r="A379" s="141">
        <f t="shared" si="173"/>
        <v>361</v>
      </c>
      <c r="B379" s="142">
        <f t="shared" si="174"/>
        <v>173</v>
      </c>
      <c r="C379" s="62" t="s">
        <v>53</v>
      </c>
      <c r="D379" s="23" t="s">
        <v>166</v>
      </c>
      <c r="E379" s="29" t="s">
        <v>115</v>
      </c>
      <c r="G379" s="123" t="s">
        <v>43</v>
      </c>
      <c r="H379" s="29" t="s">
        <v>98</v>
      </c>
      <c r="I379" s="29" t="s">
        <v>98</v>
      </c>
      <c r="J379" s="23">
        <v>715.4</v>
      </c>
      <c r="K379" s="23">
        <v>684.9</v>
      </c>
      <c r="L379" s="23">
        <v>0</v>
      </c>
      <c r="M379" s="23">
        <v>38</v>
      </c>
      <c r="N379" s="63">
        <f t="shared" si="203"/>
        <v>5767861.1038073096</v>
      </c>
      <c r="P379" s="65"/>
      <c r="Q379" s="65">
        <v>507855.56</v>
      </c>
      <c r="R379" s="65">
        <f t="shared" si="206"/>
        <v>417637.24</v>
      </c>
      <c r="S379" s="65">
        <f t="shared" si="207"/>
        <v>2588922</v>
      </c>
      <c r="T379" s="65">
        <v>2253446.3038073098</v>
      </c>
      <c r="U379" s="65">
        <f t="shared" si="204"/>
        <v>8421.4645989302226</v>
      </c>
      <c r="V379" s="65">
        <f t="shared" si="204"/>
        <v>8421.4645989302226</v>
      </c>
      <c r="W379" s="126">
        <v>2023</v>
      </c>
      <c r="X379" s="127"/>
      <c r="Z379" s="63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5"/>
      <c r="AO379" s="66"/>
      <c r="AP379" s="128"/>
      <c r="AQ379" s="23">
        <v>344284.45</v>
      </c>
      <c r="AR379" s="25">
        <v>73352.789999999994</v>
      </c>
      <c r="AS379" s="25">
        <v>2588922</v>
      </c>
      <c r="AT379" s="127"/>
      <c r="AW379" s="63">
        <f t="shared" si="205"/>
        <v>5767861.1038073096</v>
      </c>
      <c r="BH379" s="64">
        <v>5636600.0761858337</v>
      </c>
      <c r="BJ379" s="64"/>
      <c r="BK379" s="65">
        <v>8000</v>
      </c>
      <c r="BL379" s="66">
        <v>123261.02762147645</v>
      </c>
    </row>
    <row r="380" spans="1:64" x14ac:dyDescent="0.25">
      <c r="A380" s="141">
        <f t="shared" si="173"/>
        <v>362</v>
      </c>
      <c r="B380" s="142">
        <f t="shared" si="174"/>
        <v>174</v>
      </c>
      <c r="C380" s="62" t="s">
        <v>53</v>
      </c>
      <c r="D380" s="23" t="s">
        <v>191</v>
      </c>
      <c r="E380" s="29" t="s">
        <v>117</v>
      </c>
      <c r="G380" s="123" t="s">
        <v>43</v>
      </c>
      <c r="H380" s="29" t="s">
        <v>98</v>
      </c>
      <c r="I380" s="29" t="s">
        <v>98</v>
      </c>
      <c r="J380" s="23">
        <v>989.4</v>
      </c>
      <c r="K380" s="23">
        <v>861.1</v>
      </c>
      <c r="L380" s="23">
        <v>0</v>
      </c>
      <c r="M380" s="23">
        <v>40</v>
      </c>
      <c r="N380" s="63">
        <f t="shared" si="203"/>
        <v>7249665.0554657262</v>
      </c>
      <c r="P380" s="65"/>
      <c r="Q380" s="65">
        <v>507855.56</v>
      </c>
      <c r="R380" s="65">
        <f t="shared" si="206"/>
        <v>625508.02</v>
      </c>
      <c r="S380" s="65">
        <f t="shared" si="207"/>
        <v>3254958</v>
      </c>
      <c r="T380" s="65">
        <v>2861343.4754657261</v>
      </c>
      <c r="U380" s="65">
        <f t="shared" si="204"/>
        <v>8419.0745040828315</v>
      </c>
      <c r="V380" s="65">
        <f t="shared" si="204"/>
        <v>8419.0745040828315</v>
      </c>
      <c r="W380" s="126">
        <v>2023</v>
      </c>
      <c r="X380" s="127"/>
      <c r="Z380" s="63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5"/>
      <c r="AO380" s="66"/>
      <c r="AP380" s="128"/>
      <c r="AQ380" s="23">
        <v>533284.21</v>
      </c>
      <c r="AR380" s="25">
        <v>92223.81</v>
      </c>
      <c r="AS380" s="25">
        <v>3254958</v>
      </c>
      <c r="AT380" s="127"/>
      <c r="AW380" s="63">
        <f t="shared" si="205"/>
        <v>7249665.0554657253</v>
      </c>
      <c r="BH380" s="64">
        <v>7086693.4232787583</v>
      </c>
      <c r="BJ380" s="64"/>
      <c r="BK380" s="65">
        <v>8000</v>
      </c>
      <c r="BL380" s="66">
        <v>154971.63218696654</v>
      </c>
    </row>
    <row r="381" spans="1:64" x14ac:dyDescent="0.25">
      <c r="A381" s="141">
        <f t="shared" si="173"/>
        <v>363</v>
      </c>
      <c r="B381" s="142">
        <f t="shared" si="174"/>
        <v>175</v>
      </c>
      <c r="C381" s="62" t="s">
        <v>64</v>
      </c>
      <c r="D381" s="62" t="s">
        <v>778</v>
      </c>
      <c r="E381" s="123">
        <v>1985</v>
      </c>
      <c r="F381" s="123">
        <v>1985</v>
      </c>
      <c r="G381" s="123" t="s">
        <v>43</v>
      </c>
      <c r="H381" s="123">
        <v>2</v>
      </c>
      <c r="I381" s="123">
        <v>2</v>
      </c>
      <c r="J381" s="64">
        <v>914.7</v>
      </c>
      <c r="K381" s="64">
        <v>845.7</v>
      </c>
      <c r="L381" s="64">
        <v>0</v>
      </c>
      <c r="M381" s="124">
        <v>33</v>
      </c>
      <c r="N381" s="95">
        <f t="shared" si="179"/>
        <v>5484113.5199999996</v>
      </c>
      <c r="O381" s="64"/>
      <c r="P381" s="65">
        <v>1932870.1700000009</v>
      </c>
      <c r="Q381" s="65"/>
      <c r="R381" s="65">
        <f t="shared" si="194"/>
        <v>515460.06999999995</v>
      </c>
      <c r="S381" s="65">
        <f>+'Приложение №2'!E390-'Приложение №1'!R381-P381</f>
        <v>3035783.2799999993</v>
      </c>
      <c r="T381" s="65">
        <v>0</v>
      </c>
      <c r="U381" s="65">
        <f t="shared" ref="U381:U383" si="208">N381/K381</f>
        <v>6484.703228095068</v>
      </c>
      <c r="V381" s="65">
        <v>1354.2830200640001</v>
      </c>
      <c r="W381" s="126">
        <v>2023</v>
      </c>
      <c r="X381" s="127" t="e">
        <f>+#REF!-'[1]Приложение №1'!$P1120</f>
        <v>#REF!</v>
      </c>
      <c r="Z381" s="63">
        <f t="shared" si="195"/>
        <v>6296342.7100000009</v>
      </c>
      <c r="AA381" s="64">
        <v>2467275.9651212404</v>
      </c>
      <c r="AB381" s="64">
        <v>1501302.4198296599</v>
      </c>
      <c r="AC381" s="64">
        <v>707414.26194726001</v>
      </c>
      <c r="AD381" s="64">
        <v>602877.17677656002</v>
      </c>
      <c r="AE381" s="64">
        <v>0</v>
      </c>
      <c r="AF381" s="64"/>
      <c r="AG381" s="64">
        <v>262232.90488164005</v>
      </c>
      <c r="AH381" s="64">
        <v>0</v>
      </c>
      <c r="AI381" s="64">
        <v>0</v>
      </c>
      <c r="AJ381" s="64">
        <v>0</v>
      </c>
      <c r="AK381" s="64">
        <v>0</v>
      </c>
      <c r="AL381" s="64">
        <v>0</v>
      </c>
      <c r="AM381" s="64">
        <v>571103.86029999994</v>
      </c>
      <c r="AN381" s="65">
        <v>62963.427100000008</v>
      </c>
      <c r="AO381" s="66">
        <v>121172.69404364003</v>
      </c>
      <c r="AP381" s="128">
        <f>+N381-'Приложение №2'!E390</f>
        <v>0</v>
      </c>
      <c r="AQ381" s="38">
        <v>429198.67</v>
      </c>
      <c r="AR381" s="25">
        <f t="shared" si="187"/>
        <v>86261.4</v>
      </c>
      <c r="AS381" s="25">
        <f t="shared" ref="AS381:AS386" si="209">+(K381*10+L381*20)*12*30</f>
        <v>3044520</v>
      </c>
      <c r="AT381" s="127">
        <f t="shared" si="193"/>
        <v>-8736.7200000006706</v>
      </c>
      <c r="AU381" s="127">
        <f>+P381-'[6]Приложение №1'!$P337</f>
        <v>0</v>
      </c>
      <c r="AV381" s="127">
        <f>+Q381-'[6]Приложение №1'!$Q337</f>
        <v>0</v>
      </c>
      <c r="AW381" s="63">
        <f t="shared" si="186"/>
        <v>5484113.5200000005</v>
      </c>
      <c r="AX381" s="64">
        <v>2690748.568494</v>
      </c>
      <c r="AY381" s="64">
        <v>1668343.007394</v>
      </c>
      <c r="AZ381" s="64"/>
      <c r="BA381" s="64">
        <v>685043.90719799988</v>
      </c>
      <c r="BB381" s="64">
        <v>0</v>
      </c>
      <c r="BC381" s="64"/>
      <c r="BD381" s="64">
        <v>262232.90488164005</v>
      </c>
      <c r="BE381" s="64">
        <v>0</v>
      </c>
      <c r="BF381" s="64">
        <v>0</v>
      </c>
      <c r="BG381" s="64">
        <v>0</v>
      </c>
      <c r="BH381" s="64">
        <v>0</v>
      </c>
      <c r="BI381" s="64">
        <v>0</v>
      </c>
      <c r="BJ381" s="64">
        <v>40971.241300000002</v>
      </c>
      <c r="BK381" s="65">
        <v>20734.3613</v>
      </c>
      <c r="BL381" s="66">
        <v>116039.52943236002</v>
      </c>
    </row>
    <row r="382" spans="1:64" x14ac:dyDescent="0.25">
      <c r="A382" s="141">
        <f t="shared" si="173"/>
        <v>364</v>
      </c>
      <c r="B382" s="142">
        <f t="shared" si="174"/>
        <v>176</v>
      </c>
      <c r="C382" s="62" t="s">
        <v>64</v>
      </c>
      <c r="D382" s="62" t="s">
        <v>779</v>
      </c>
      <c r="E382" s="123">
        <v>1985</v>
      </c>
      <c r="F382" s="123">
        <v>2009</v>
      </c>
      <c r="G382" s="123" t="s">
        <v>43</v>
      </c>
      <c r="H382" s="123">
        <v>2</v>
      </c>
      <c r="I382" s="123">
        <v>3</v>
      </c>
      <c r="J382" s="64">
        <v>1493.5</v>
      </c>
      <c r="K382" s="64">
        <v>1376.8</v>
      </c>
      <c r="L382" s="64">
        <v>0</v>
      </c>
      <c r="M382" s="124">
        <v>60</v>
      </c>
      <c r="N382" s="95">
        <f t="shared" si="179"/>
        <v>10279133.729999999</v>
      </c>
      <c r="O382" s="64"/>
      <c r="P382" s="65">
        <v>1491506.5999999996</v>
      </c>
      <c r="Q382" s="65"/>
      <c r="R382" s="65">
        <f t="shared" si="194"/>
        <v>848133.92999999993</v>
      </c>
      <c r="S382" s="65">
        <f>+AS382</f>
        <v>4956480</v>
      </c>
      <c r="T382" s="65">
        <f>+'Приложение №2'!E391-'Приложение №1'!P382-'Приложение №1'!Q382-'Приложение №1'!R382-'Приложение №1'!S382</f>
        <v>2983013.1999999993</v>
      </c>
      <c r="U382" s="65">
        <f t="shared" si="208"/>
        <v>7465.9600014526432</v>
      </c>
      <c r="V382" s="65">
        <v>1355.2830200640001</v>
      </c>
      <c r="W382" s="126">
        <v>2023</v>
      </c>
      <c r="X382" s="127" t="e">
        <f>+#REF!-'[1]Приложение №1'!$P1515</f>
        <v>#REF!</v>
      </c>
      <c r="Z382" s="63">
        <f t="shared" si="195"/>
        <v>10279133.73</v>
      </c>
      <c r="AA382" s="64">
        <v>4027966.8255372001</v>
      </c>
      <c r="AB382" s="64">
        <v>2450960.6744834399</v>
      </c>
      <c r="AC382" s="64">
        <v>1154893.5828968999</v>
      </c>
      <c r="AD382" s="64">
        <v>984230.91881016002</v>
      </c>
      <c r="AE382" s="64">
        <v>0</v>
      </c>
      <c r="AF382" s="64"/>
      <c r="AG382" s="64">
        <v>428109.96493607998</v>
      </c>
      <c r="AH382" s="64">
        <v>0</v>
      </c>
      <c r="AI382" s="64">
        <v>0</v>
      </c>
      <c r="AJ382" s="64">
        <v>0</v>
      </c>
      <c r="AK382" s="64">
        <v>0</v>
      </c>
      <c r="AL382" s="64">
        <v>0</v>
      </c>
      <c r="AM382" s="64">
        <v>932359.18539999996</v>
      </c>
      <c r="AN382" s="65">
        <v>102791.33730000001</v>
      </c>
      <c r="AO382" s="66">
        <v>197821.24063622003</v>
      </c>
      <c r="AP382" s="128">
        <f>+N382-'Приложение №2'!E391</f>
        <v>0</v>
      </c>
      <c r="AQ382" s="38">
        <v>707700.33</v>
      </c>
      <c r="AR382" s="25">
        <f t="shared" si="187"/>
        <v>140433.60000000001</v>
      </c>
      <c r="AS382" s="25">
        <f t="shared" si="209"/>
        <v>4956480</v>
      </c>
      <c r="AT382" s="127">
        <f t="shared" si="193"/>
        <v>0</v>
      </c>
      <c r="AU382" s="127">
        <f>+P382-'[6]Приложение №1'!$P338</f>
        <v>0</v>
      </c>
      <c r="AV382" s="127">
        <f>+Q382-'[6]Приложение №1'!$Q338</f>
        <v>0</v>
      </c>
      <c r="AW382" s="63">
        <f t="shared" si="186"/>
        <v>10279133.729999999</v>
      </c>
      <c r="AX382" s="64">
        <v>4401647.2299239999</v>
      </c>
      <c r="AY382" s="64">
        <v>2728944.7063199999</v>
      </c>
      <c r="AZ382" s="64">
        <v>1282797.7023540002</v>
      </c>
      <c r="BA382" s="64">
        <v>1125093.5331300001</v>
      </c>
      <c r="BB382" s="64">
        <v>0</v>
      </c>
      <c r="BC382" s="64"/>
      <c r="BD382" s="64">
        <v>428109.96493607998</v>
      </c>
      <c r="BE382" s="64">
        <v>0</v>
      </c>
      <c r="BF382" s="64">
        <v>0</v>
      </c>
      <c r="BG382" s="64">
        <v>0</v>
      </c>
      <c r="BH382" s="64">
        <v>0</v>
      </c>
      <c r="BI382" s="64">
        <v>0</v>
      </c>
      <c r="BJ382" s="64">
        <v>66127.388600000006</v>
      </c>
      <c r="BK382" s="65">
        <v>28463.998599999999</v>
      </c>
      <c r="BL382" s="66">
        <v>217949.20613592002</v>
      </c>
    </row>
    <row r="383" spans="1:64" x14ac:dyDescent="0.25">
      <c r="A383" s="141">
        <f t="shared" si="173"/>
        <v>365</v>
      </c>
      <c r="B383" s="142">
        <f t="shared" si="174"/>
        <v>177</v>
      </c>
      <c r="C383" s="62" t="s">
        <v>64</v>
      </c>
      <c r="D383" s="62" t="s">
        <v>780</v>
      </c>
      <c r="E383" s="123">
        <v>1975</v>
      </c>
      <c r="F383" s="123">
        <v>1975</v>
      </c>
      <c r="G383" s="123" t="s">
        <v>43</v>
      </c>
      <c r="H383" s="123">
        <v>2</v>
      </c>
      <c r="I383" s="123">
        <v>2</v>
      </c>
      <c r="J383" s="64">
        <v>785.47</v>
      </c>
      <c r="K383" s="64">
        <v>729.06</v>
      </c>
      <c r="L383" s="64">
        <v>0</v>
      </c>
      <c r="M383" s="124">
        <v>32</v>
      </c>
      <c r="N383" s="95">
        <f t="shared" si="179"/>
        <v>5796292.5199999996</v>
      </c>
      <c r="O383" s="64"/>
      <c r="P383" s="65">
        <f>+'Приложение №2'!E392-'Приложение №1'!R383-'Приложение №1'!S383</f>
        <v>2735629.5699999994</v>
      </c>
      <c r="Q383" s="65"/>
      <c r="R383" s="65">
        <f t="shared" si="194"/>
        <v>436046.95</v>
      </c>
      <c r="S383" s="65">
        <f>+AS383</f>
        <v>2624616</v>
      </c>
      <c r="T383" s="65">
        <v>0</v>
      </c>
      <c r="U383" s="65">
        <f t="shared" si="208"/>
        <v>7950.3641949908097</v>
      </c>
      <c r="V383" s="65">
        <v>1356.2830200640001</v>
      </c>
      <c r="W383" s="126">
        <v>2023</v>
      </c>
      <c r="X383" s="127" t="e">
        <f>+#REF!-'[1]Приложение №1'!$P1516</f>
        <v>#REF!</v>
      </c>
      <c r="Z383" s="63">
        <f t="shared" si="195"/>
        <v>5796292.5199999996</v>
      </c>
      <c r="AA383" s="64">
        <v>0</v>
      </c>
      <c r="AB383" s="64">
        <v>0</v>
      </c>
      <c r="AC383" s="64">
        <v>0</v>
      </c>
      <c r="AD383" s="64">
        <v>0</v>
      </c>
      <c r="AE383" s="64">
        <v>0</v>
      </c>
      <c r="AF383" s="64"/>
      <c r="AG383" s="64">
        <v>0</v>
      </c>
      <c r="AH383" s="64">
        <v>0</v>
      </c>
      <c r="AI383" s="64">
        <v>0</v>
      </c>
      <c r="AJ383" s="64">
        <v>0</v>
      </c>
      <c r="AK383" s="64">
        <v>5048304.1554640792</v>
      </c>
      <c r="AL383" s="64">
        <v>0</v>
      </c>
      <c r="AM383" s="64">
        <v>579629.25199999998</v>
      </c>
      <c r="AN383" s="65">
        <v>57962.925199999998</v>
      </c>
      <c r="AO383" s="66">
        <v>110396.18733591998</v>
      </c>
      <c r="AP383" s="128">
        <f>+N383-'Приложение №2'!E392</f>
        <v>0</v>
      </c>
      <c r="AQ383" s="38">
        <v>361682.83</v>
      </c>
      <c r="AR383" s="25">
        <f t="shared" si="187"/>
        <v>74364.12</v>
      </c>
      <c r="AS383" s="25">
        <f t="shared" si="209"/>
        <v>2624616</v>
      </c>
      <c r="AT383" s="127">
        <f t="shared" si="193"/>
        <v>0</v>
      </c>
      <c r="AU383" s="127">
        <f>+P383-'[6]Приложение №1'!$P339</f>
        <v>0</v>
      </c>
      <c r="AV383" s="127">
        <f>+Q383-'[6]Приложение №1'!$Q339</f>
        <v>0</v>
      </c>
      <c r="AW383" s="63">
        <f t="shared" si="186"/>
        <v>5796292.5199999996</v>
      </c>
      <c r="AX383" s="64">
        <v>0</v>
      </c>
      <c r="AY383" s="64">
        <v>0</v>
      </c>
      <c r="AZ383" s="64">
        <v>0</v>
      </c>
      <c r="BA383" s="64">
        <v>0</v>
      </c>
      <c r="BB383" s="64">
        <v>0</v>
      </c>
      <c r="BC383" s="64"/>
      <c r="BD383" s="64"/>
      <c r="BE383" s="64">
        <v>0</v>
      </c>
      <c r="BF383" s="64">
        <v>0</v>
      </c>
      <c r="BG383" s="64">
        <v>0</v>
      </c>
      <c r="BH383" s="64">
        <v>5611851.8558339998</v>
      </c>
      <c r="BI383" s="64">
        <v>0</v>
      </c>
      <c r="BJ383" s="64">
        <v>37720.83</v>
      </c>
      <c r="BK383" s="65">
        <v>24000</v>
      </c>
      <c r="BL383" s="66">
        <v>122719.834166</v>
      </c>
    </row>
    <row r="384" spans="1:64" x14ac:dyDescent="0.25">
      <c r="A384" s="141">
        <f t="shared" si="173"/>
        <v>366</v>
      </c>
      <c r="B384" s="142">
        <f t="shared" si="174"/>
        <v>178</v>
      </c>
      <c r="C384" s="62" t="s">
        <v>55</v>
      </c>
      <c r="D384" s="62" t="s">
        <v>471</v>
      </c>
      <c r="E384" s="123">
        <v>1989</v>
      </c>
      <c r="F384" s="123">
        <v>1989</v>
      </c>
      <c r="G384" s="123" t="s">
        <v>43</v>
      </c>
      <c r="H384" s="123">
        <v>2</v>
      </c>
      <c r="I384" s="123">
        <v>2</v>
      </c>
      <c r="J384" s="64">
        <v>915</v>
      </c>
      <c r="K384" s="64">
        <v>892.81</v>
      </c>
      <c r="L384" s="64">
        <v>0</v>
      </c>
      <c r="M384" s="124">
        <v>32</v>
      </c>
      <c r="N384" s="63">
        <f t="shared" si="179"/>
        <v>8034936.8781599998</v>
      </c>
      <c r="O384" s="64"/>
      <c r="P384" s="65">
        <v>1379021.85</v>
      </c>
      <c r="Q384" s="65"/>
      <c r="R384" s="65">
        <v>482392.32000000001</v>
      </c>
      <c r="S384" s="65">
        <v>3214115.9999999995</v>
      </c>
      <c r="T384" s="64">
        <f>+'Приложение №2'!E393-'Приложение №1'!P384-'Приложение №1'!R384-'Приложение №1'!S384</f>
        <v>2959406.7081600004</v>
      </c>
      <c r="U384" s="65">
        <f t="shared" si="185"/>
        <v>8999.6044826558846</v>
      </c>
      <c r="V384" s="65">
        <f t="shared" si="185"/>
        <v>8999.6044826558846</v>
      </c>
      <c r="W384" s="126">
        <v>2023</v>
      </c>
      <c r="X384" s="127" t="e">
        <f>+#REF!-'[1]Приложение №1'!$P1351</f>
        <v>#REF!</v>
      </c>
      <c r="Z384" s="63">
        <f t="shared" si="195"/>
        <v>8546292.5500000007</v>
      </c>
      <c r="AA384" s="64">
        <v>0</v>
      </c>
      <c r="AB384" s="64">
        <v>0</v>
      </c>
      <c r="AC384" s="64">
        <v>0</v>
      </c>
      <c r="AD384" s="64">
        <v>0</v>
      </c>
      <c r="AE384" s="64">
        <v>0</v>
      </c>
      <c r="AF384" s="64"/>
      <c r="AG384" s="64">
        <v>0</v>
      </c>
      <c r="AH384" s="64">
        <v>0</v>
      </c>
      <c r="AI384" s="64">
        <v>7527061.7004870009</v>
      </c>
      <c r="AJ384" s="64">
        <v>0</v>
      </c>
      <c r="AK384" s="64">
        <v>0</v>
      </c>
      <c r="AL384" s="64">
        <v>0</v>
      </c>
      <c r="AM384" s="64">
        <v>769166.32949999999</v>
      </c>
      <c r="AN384" s="65">
        <v>85462.925500000012</v>
      </c>
      <c r="AO384" s="66">
        <v>164601.59451300002</v>
      </c>
      <c r="AP384" s="128">
        <f>+N384-'Приложение №2'!E393</f>
        <v>0</v>
      </c>
      <c r="AQ384" s="23">
        <v>367325.7</v>
      </c>
      <c r="AR384" s="25">
        <f t="shared" si="187"/>
        <v>91066.619999999981</v>
      </c>
      <c r="AS384" s="25">
        <f t="shared" si="209"/>
        <v>3214115.9999999995</v>
      </c>
      <c r="AT384" s="127">
        <f t="shared" si="193"/>
        <v>0</v>
      </c>
      <c r="AW384" s="63">
        <f t="shared" si="186"/>
        <v>8034936.8781599998</v>
      </c>
      <c r="AX384" s="64">
        <v>0</v>
      </c>
      <c r="AY384" s="64">
        <v>0</v>
      </c>
      <c r="AZ384" s="64">
        <v>0</v>
      </c>
      <c r="BA384" s="64">
        <v>0</v>
      </c>
      <c r="BB384" s="64">
        <v>0</v>
      </c>
      <c r="BC384" s="64"/>
      <c r="BD384" s="64"/>
      <c r="BE384" s="64">
        <v>0</v>
      </c>
      <c r="BF384" s="64">
        <v>7785131.3599999994</v>
      </c>
      <c r="BG384" s="64">
        <v>0</v>
      </c>
      <c r="BH384" s="64">
        <v>0</v>
      </c>
      <c r="BI384" s="64">
        <v>0</v>
      </c>
      <c r="BJ384" s="64">
        <v>44378.15</v>
      </c>
      <c r="BK384" s="65">
        <v>24000</v>
      </c>
      <c r="BL384" s="66">
        <v>181427.36816000004</v>
      </c>
    </row>
    <row r="385" spans="1:64" x14ac:dyDescent="0.25">
      <c r="A385" s="141">
        <f t="shared" si="173"/>
        <v>367</v>
      </c>
      <c r="B385" s="142">
        <f t="shared" si="174"/>
        <v>179</v>
      </c>
      <c r="C385" s="62" t="s">
        <v>55</v>
      </c>
      <c r="D385" s="62" t="s">
        <v>787</v>
      </c>
      <c r="E385" s="123">
        <v>1989</v>
      </c>
      <c r="F385" s="123">
        <v>1989</v>
      </c>
      <c r="G385" s="123" t="s">
        <v>43</v>
      </c>
      <c r="H385" s="123">
        <v>3</v>
      </c>
      <c r="I385" s="123">
        <v>2</v>
      </c>
      <c r="J385" s="64">
        <v>1225.2</v>
      </c>
      <c r="K385" s="64">
        <v>861.78</v>
      </c>
      <c r="L385" s="64">
        <v>363.42</v>
      </c>
      <c r="M385" s="124">
        <v>38</v>
      </c>
      <c r="N385" s="95">
        <f t="shared" si="179"/>
        <v>5522983.8570600003</v>
      </c>
      <c r="O385" s="64"/>
      <c r="P385" s="65">
        <v>1136928.2899999998</v>
      </c>
      <c r="Q385" s="65"/>
      <c r="R385" s="65">
        <f t="shared" si="194"/>
        <v>496995.11</v>
      </c>
      <c r="S385" s="65">
        <f>+'Приложение №2'!E394-'Приложение №1'!P385-'Приложение №1'!Q385-'Приложение №1'!R385</f>
        <v>3889060.4570600004</v>
      </c>
      <c r="T385" s="64">
        <f>+'Приложение №2'!E394-'Приложение №1'!P385-'Приложение №1'!Q385-'Приложение №1'!R385-'Приложение №1'!S385</f>
        <v>0</v>
      </c>
      <c r="U385" s="65">
        <f t="shared" si="185"/>
        <v>4507.8222796767877</v>
      </c>
      <c r="V385" s="65">
        <f t="shared" si="185"/>
        <v>4507.8222796767877</v>
      </c>
      <c r="W385" s="126">
        <v>2023</v>
      </c>
      <c r="X385" s="127" t="e">
        <f>+#REF!-'[1]Приложение №1'!$P1134</f>
        <v>#REF!</v>
      </c>
      <c r="Z385" s="63">
        <f t="shared" si="195"/>
        <v>8281653.2599999998</v>
      </c>
      <c r="AA385" s="64">
        <v>0</v>
      </c>
      <c r="AB385" s="64">
        <v>0</v>
      </c>
      <c r="AC385" s="64">
        <v>0</v>
      </c>
      <c r="AD385" s="64">
        <v>0</v>
      </c>
      <c r="AE385" s="64">
        <v>0</v>
      </c>
      <c r="AF385" s="64"/>
      <c r="AG385" s="64">
        <v>0</v>
      </c>
      <c r="AH385" s="64">
        <v>0</v>
      </c>
      <c r="AI385" s="64">
        <v>7293983.2922124006</v>
      </c>
      <c r="AJ385" s="64">
        <v>0</v>
      </c>
      <c r="AK385" s="64">
        <v>0</v>
      </c>
      <c r="AL385" s="64">
        <v>0</v>
      </c>
      <c r="AM385" s="64">
        <v>745348.79339999997</v>
      </c>
      <c r="AN385" s="65">
        <v>82816.532600000006</v>
      </c>
      <c r="AO385" s="66">
        <v>159504.64178760001</v>
      </c>
      <c r="AP385" s="128">
        <f>+N385-'Приложение №2'!E394</f>
        <v>0</v>
      </c>
      <c r="AQ385" s="23">
        <v>334955.87</v>
      </c>
      <c r="AR385" s="25">
        <f t="shared" si="187"/>
        <v>162039.24000000002</v>
      </c>
      <c r="AS385" s="25">
        <f t="shared" si="209"/>
        <v>5719032.0000000009</v>
      </c>
      <c r="AT385" s="127">
        <f t="shared" si="193"/>
        <v>-1829971.5429400005</v>
      </c>
      <c r="AU385" s="127">
        <f>+P385-'[6]Приложение №1'!$P340</f>
        <v>0</v>
      </c>
      <c r="AV385" s="127">
        <f>+Q385-'[6]Приложение №1'!$Q340</f>
        <v>0</v>
      </c>
      <c r="AW385" s="63">
        <f t="shared" si="186"/>
        <v>4448664.1270599999</v>
      </c>
      <c r="AX385" s="64">
        <v>0</v>
      </c>
      <c r="AY385" s="64">
        <v>0</v>
      </c>
      <c r="AZ385" s="64">
        <v>0</v>
      </c>
      <c r="BA385" s="64">
        <v>0</v>
      </c>
      <c r="BB385" s="64">
        <v>0</v>
      </c>
      <c r="BC385" s="64"/>
      <c r="BD385" s="64"/>
      <c r="BE385" s="64">
        <v>0</v>
      </c>
      <c r="BF385" s="64">
        <v>4203546.0199999996</v>
      </c>
      <c r="BG385" s="64">
        <v>0</v>
      </c>
      <c r="BH385" s="64">
        <v>0</v>
      </c>
      <c r="BI385" s="64">
        <v>0</v>
      </c>
      <c r="BJ385" s="64">
        <v>45375.360000000001</v>
      </c>
      <c r="BK385" s="65">
        <v>24000</v>
      </c>
      <c r="BL385" s="66">
        <v>175742.74705999999</v>
      </c>
    </row>
    <row r="386" spans="1:64" x14ac:dyDescent="0.25">
      <c r="A386" s="141">
        <f t="shared" si="173"/>
        <v>368</v>
      </c>
      <c r="B386" s="142">
        <f t="shared" si="174"/>
        <v>180</v>
      </c>
      <c r="C386" s="62" t="s">
        <v>55</v>
      </c>
      <c r="D386" s="62" t="s">
        <v>370</v>
      </c>
      <c r="E386" s="123">
        <v>1984</v>
      </c>
      <c r="F386" s="123">
        <v>2009</v>
      </c>
      <c r="G386" s="123" t="s">
        <v>43</v>
      </c>
      <c r="H386" s="123">
        <v>2</v>
      </c>
      <c r="I386" s="123">
        <v>2</v>
      </c>
      <c r="J386" s="64">
        <v>1164.7</v>
      </c>
      <c r="K386" s="64">
        <v>745.9</v>
      </c>
      <c r="L386" s="64">
        <v>304.10000000000002</v>
      </c>
      <c r="M386" s="124">
        <v>37</v>
      </c>
      <c r="N386" s="95">
        <f t="shared" si="179"/>
        <v>4380113.423866</v>
      </c>
      <c r="O386" s="64"/>
      <c r="P386" s="65"/>
      <c r="Q386" s="65"/>
      <c r="R386" s="65">
        <f t="shared" si="194"/>
        <v>535849.51</v>
      </c>
      <c r="S386" s="65">
        <f>+'Приложение №2'!E395-'Приложение №1'!R386</f>
        <v>3844263.9138660002</v>
      </c>
      <c r="T386" s="65">
        <f>+'Приложение №2'!E395-'Приложение №1'!P386-'Приложение №1'!Q386-'Приложение №1'!R386-'Приложение №1'!S386</f>
        <v>0</v>
      </c>
      <c r="U386" s="64">
        <f t="shared" si="185"/>
        <v>4171.5365941580949</v>
      </c>
      <c r="V386" s="64">
        <f t="shared" si="185"/>
        <v>4171.5365941580949</v>
      </c>
      <c r="W386" s="126">
        <v>2023</v>
      </c>
      <c r="X386" s="127" t="e">
        <f>+#REF!-'[1]Приложение №1'!$P1524</f>
        <v>#REF!</v>
      </c>
      <c r="Z386" s="63">
        <f t="shared" si="195"/>
        <v>12533218.82</v>
      </c>
      <c r="AA386" s="64">
        <v>2147390.7974610003</v>
      </c>
      <c r="AB386" s="64">
        <v>1306656.8383722</v>
      </c>
      <c r="AC386" s="64">
        <v>615697.18809396005</v>
      </c>
      <c r="AD386" s="64">
        <v>524713.46015088004</v>
      </c>
      <c r="AE386" s="64">
        <v>0</v>
      </c>
      <c r="AF386" s="64"/>
      <c r="AG386" s="64">
        <v>228234.10595495999</v>
      </c>
      <c r="AH386" s="64">
        <v>0</v>
      </c>
      <c r="AI386" s="64">
        <v>6212039.0494932001</v>
      </c>
      <c r="AJ386" s="64">
        <v>0</v>
      </c>
      <c r="AK386" s="64">
        <v>0</v>
      </c>
      <c r="AL386" s="64">
        <v>0</v>
      </c>
      <c r="AM386" s="64">
        <v>1131847.9648</v>
      </c>
      <c r="AN386" s="65">
        <v>125332.1882</v>
      </c>
      <c r="AO386" s="66">
        <v>241307.22747379998</v>
      </c>
      <c r="AP386" s="128">
        <f>+N386-'Приложение №2'!E395</f>
        <v>0</v>
      </c>
      <c r="AQ386" s="23">
        <v>397731.31</v>
      </c>
      <c r="AR386" s="25">
        <f t="shared" si="187"/>
        <v>138118.19999999998</v>
      </c>
      <c r="AS386" s="25">
        <f t="shared" si="209"/>
        <v>4874760</v>
      </c>
      <c r="AT386" s="127">
        <f t="shared" si="193"/>
        <v>-1030496.0861339998</v>
      </c>
      <c r="AU386" s="127">
        <f>+P386-'[6]Приложение №1'!$P341</f>
        <v>-2329938.9142360003</v>
      </c>
      <c r="AV386" s="127">
        <f>+Q386-'[6]Приложение №1'!$Q341</f>
        <v>0</v>
      </c>
      <c r="AW386" s="63">
        <f t="shared" si="186"/>
        <v>4380113.423866</v>
      </c>
      <c r="AX386" s="64">
        <v>2339408.797698</v>
      </c>
      <c r="AY386" s="64">
        <v>1449960.6375240001</v>
      </c>
      <c r="AZ386" s="64"/>
      <c r="BA386" s="64"/>
      <c r="BB386" s="64">
        <v>0</v>
      </c>
      <c r="BC386" s="64"/>
      <c r="BD386" s="64">
        <v>228234.10595495999</v>
      </c>
      <c r="BE386" s="64">
        <v>0</v>
      </c>
      <c r="BF386" s="64"/>
      <c r="BG386" s="64">
        <v>0</v>
      </c>
      <c r="BH386" s="64">
        <v>0</v>
      </c>
      <c r="BI386" s="64">
        <v>0</v>
      </c>
      <c r="BJ386" s="64">
        <v>99074.368199999997</v>
      </c>
      <c r="BK386" s="65">
        <v>26379.8482</v>
      </c>
      <c r="BL386" s="66">
        <v>237055.66628903997</v>
      </c>
    </row>
    <row r="387" spans="1:64" x14ac:dyDescent="0.25">
      <c r="A387" s="141">
        <f t="shared" si="173"/>
        <v>369</v>
      </c>
      <c r="B387" s="142">
        <f t="shared" si="174"/>
        <v>181</v>
      </c>
      <c r="C387" s="62" t="s">
        <v>55</v>
      </c>
      <c r="D387" s="62" t="s">
        <v>782</v>
      </c>
      <c r="E387" s="123">
        <v>1976</v>
      </c>
      <c r="F387" s="123">
        <v>2008</v>
      </c>
      <c r="G387" s="123" t="s">
        <v>43</v>
      </c>
      <c r="H387" s="123">
        <v>4</v>
      </c>
      <c r="I387" s="123">
        <v>4</v>
      </c>
      <c r="J387" s="64">
        <v>4257.32</v>
      </c>
      <c r="K387" s="64">
        <v>3128.38</v>
      </c>
      <c r="L387" s="64">
        <v>991.08</v>
      </c>
      <c r="M387" s="124">
        <v>124</v>
      </c>
      <c r="N387" s="95">
        <f t="shared" si="179"/>
        <v>4327641.5702397395</v>
      </c>
      <c r="O387" s="64"/>
      <c r="P387" s="65"/>
      <c r="Q387" s="65"/>
      <c r="R387" s="65">
        <f t="shared" si="194"/>
        <v>0</v>
      </c>
      <c r="S387" s="65">
        <f>+'Приложение №2'!E396-'Приложение №1'!R387</f>
        <v>4327641.5702397395</v>
      </c>
      <c r="T387" s="65">
        <v>0</v>
      </c>
      <c r="U387" s="64">
        <f t="shared" si="185"/>
        <v>1050.5361310073988</v>
      </c>
      <c r="V387" s="64">
        <f t="shared" si="185"/>
        <v>1050.5361310073988</v>
      </c>
      <c r="W387" s="126">
        <v>2023</v>
      </c>
      <c r="X387" s="127" t="e">
        <f>+#REF!-'[1]Приложение №1'!$P752</f>
        <v>#REF!</v>
      </c>
      <c r="Z387" s="63">
        <f t="shared" si="195"/>
        <v>16411728.570000004</v>
      </c>
      <c r="AA387" s="64">
        <v>7185234.1705489811</v>
      </c>
      <c r="AB387" s="64">
        <v>2542217.2836664799</v>
      </c>
      <c r="AC387" s="64">
        <v>0</v>
      </c>
      <c r="AD387" s="64">
        <v>1662855.463857</v>
      </c>
      <c r="AE387" s="64">
        <v>2127796.9824119406</v>
      </c>
      <c r="AF387" s="64"/>
      <c r="AG387" s="64">
        <v>285097.02429768001</v>
      </c>
      <c r="AH387" s="64">
        <v>0</v>
      </c>
      <c r="AI387" s="64">
        <v>0</v>
      </c>
      <c r="AJ387" s="64">
        <v>0</v>
      </c>
      <c r="AK387" s="64">
        <v>0</v>
      </c>
      <c r="AL387" s="64">
        <v>0</v>
      </c>
      <c r="AM387" s="64">
        <v>2142562.3114999998</v>
      </c>
      <c r="AN387" s="65">
        <v>164117.28570000004</v>
      </c>
      <c r="AO387" s="66">
        <v>301848.04801792005</v>
      </c>
      <c r="AP387" s="128">
        <f>+N387-'Приложение №2'!E396</f>
        <v>0</v>
      </c>
      <c r="AQ387" s="127">
        <f>1377282.4-565094.81-R140</f>
        <v>-521275.08000000007</v>
      </c>
      <c r="AR387" s="25">
        <f t="shared" si="187"/>
        <v>521275.08</v>
      </c>
      <c r="AS387" s="25">
        <f>+(K387*10+L387*20)*12*30-180969.62-S140</f>
        <v>14075368.085616259</v>
      </c>
      <c r="AT387" s="127">
        <f t="shared" si="193"/>
        <v>-9747726.5153765194</v>
      </c>
      <c r="AU387" s="127">
        <f>+P387-'[6]Приложение №1'!$P342</f>
        <v>0</v>
      </c>
      <c r="AV387" s="127">
        <f>+Q387-'[6]Приложение №1'!$Q342</f>
        <v>0</v>
      </c>
      <c r="AW387" s="63">
        <f t="shared" si="186"/>
        <v>3488921.0602397402</v>
      </c>
      <c r="AX387" s="64"/>
      <c r="AY387" s="64"/>
      <c r="AZ387" s="64">
        <v>0</v>
      </c>
      <c r="BA387" s="64">
        <v>1796569.131756</v>
      </c>
      <c r="BB387" s="64"/>
      <c r="BC387" s="64"/>
      <c r="BD387" s="64"/>
      <c r="BE387" s="64">
        <v>0</v>
      </c>
      <c r="BF387" s="64">
        <v>0</v>
      </c>
      <c r="BG387" s="64">
        <v>1450733.92</v>
      </c>
      <c r="BH387" s="64">
        <v>0</v>
      </c>
      <c r="BI387" s="64"/>
      <c r="BJ387" s="64"/>
      <c r="BK387" s="65"/>
      <c r="BL387" s="66">
        <v>241618.00848373998</v>
      </c>
    </row>
    <row r="388" spans="1:64" x14ac:dyDescent="0.25">
      <c r="A388" s="141">
        <f t="shared" si="173"/>
        <v>370</v>
      </c>
      <c r="B388" s="142">
        <f t="shared" si="174"/>
        <v>182</v>
      </c>
      <c r="C388" s="62" t="s">
        <v>55</v>
      </c>
      <c r="D388" s="62" t="s">
        <v>783</v>
      </c>
      <c r="E388" s="123">
        <v>1964</v>
      </c>
      <c r="F388" s="123">
        <v>1964</v>
      </c>
      <c r="G388" s="123" t="s">
        <v>43</v>
      </c>
      <c r="H388" s="123">
        <v>2</v>
      </c>
      <c r="I388" s="123">
        <v>2</v>
      </c>
      <c r="J388" s="64">
        <v>816.77</v>
      </c>
      <c r="K388" s="64">
        <v>598.04999999999995</v>
      </c>
      <c r="L388" s="64">
        <v>218.72</v>
      </c>
      <c r="M388" s="124">
        <v>23</v>
      </c>
      <c r="N388" s="95">
        <f t="shared" si="179"/>
        <v>578480.11581599992</v>
      </c>
      <c r="O388" s="64"/>
      <c r="P388" s="65"/>
      <c r="Q388" s="65"/>
      <c r="R388" s="65">
        <f t="shared" si="194"/>
        <v>229835.71999999997</v>
      </c>
      <c r="S388" s="65">
        <f>+'Приложение №2'!E397-'Приложение №1'!R388</f>
        <v>348644.39581599995</v>
      </c>
      <c r="T388" s="65"/>
      <c r="U388" s="64">
        <f t="shared" si="185"/>
        <v>708.25338322416337</v>
      </c>
      <c r="V388" s="64">
        <f t="shared" si="185"/>
        <v>708.25338322416337</v>
      </c>
      <c r="W388" s="126">
        <v>2023</v>
      </c>
      <c r="X388" s="127" t="e">
        <f>+#REF!-'[1]Приложение №1'!$P753</f>
        <v>#REF!</v>
      </c>
      <c r="Z388" s="63">
        <f t="shared" si="195"/>
        <v>6301561.3699999992</v>
      </c>
      <c r="AA388" s="64">
        <v>0</v>
      </c>
      <c r="AB388" s="64">
        <v>0</v>
      </c>
      <c r="AC388" s="64">
        <v>499972.95528431999</v>
      </c>
      <c r="AD388" s="64">
        <v>0</v>
      </c>
      <c r="AE388" s="64">
        <v>0</v>
      </c>
      <c r="AF388" s="64"/>
      <c r="AG388" s="64">
        <v>0</v>
      </c>
      <c r="AH388" s="64">
        <v>0</v>
      </c>
      <c r="AI388" s="64">
        <v>5044446.5320746005</v>
      </c>
      <c r="AJ388" s="64">
        <v>0</v>
      </c>
      <c r="AK388" s="64">
        <v>0</v>
      </c>
      <c r="AL388" s="64">
        <v>0</v>
      </c>
      <c r="AM388" s="64">
        <v>572881.04409999994</v>
      </c>
      <c r="AN388" s="65">
        <v>63015.613700000002</v>
      </c>
      <c r="AO388" s="66">
        <v>121245.22484108002</v>
      </c>
      <c r="AP388" s="128">
        <f>+N388-'Приложение №2'!E397</f>
        <v>0</v>
      </c>
      <c r="AQ388" s="23">
        <f>223283.02-99067.28</f>
        <v>124215.73999999999</v>
      </c>
      <c r="AR388" s="25">
        <f t="shared" si="187"/>
        <v>105619.97999999998</v>
      </c>
      <c r="AS388" s="25">
        <f>+(K388*10+L388*20)*12*30-29457.72</f>
        <v>3698306.2799999993</v>
      </c>
      <c r="AT388" s="127">
        <f t="shared" si="193"/>
        <v>-3349661.8841839992</v>
      </c>
      <c r="AU388" s="127">
        <f>+P388-'[6]Приложение №1'!$P343</f>
        <v>0</v>
      </c>
      <c r="AV388" s="127">
        <f>+Q388-'[6]Приложение №1'!$Q343</f>
        <v>0</v>
      </c>
      <c r="AW388" s="63">
        <f t="shared" si="186"/>
        <v>578480.11581599992</v>
      </c>
      <c r="AX388" s="64">
        <v>0</v>
      </c>
      <c r="AY388" s="64">
        <v>0</v>
      </c>
      <c r="AZ388" s="64">
        <v>448683.30485999992</v>
      </c>
      <c r="BA388" s="64">
        <v>0</v>
      </c>
      <c r="BB388" s="64">
        <v>0</v>
      </c>
      <c r="BC388" s="64"/>
      <c r="BD388" s="64"/>
      <c r="BE388" s="64">
        <v>0</v>
      </c>
      <c r="BF388" s="64"/>
      <c r="BG388" s="64">
        <v>0</v>
      </c>
      <c r="BH388" s="64">
        <v>0</v>
      </c>
      <c r="BI388" s="64">
        <v>0</v>
      </c>
      <c r="BJ388" s="64"/>
      <c r="BK388" s="65"/>
      <c r="BL388" s="66">
        <v>129796.81095600002</v>
      </c>
    </row>
    <row r="389" spans="1:64" x14ac:dyDescent="0.25">
      <c r="A389" s="141">
        <f t="shared" si="173"/>
        <v>371</v>
      </c>
      <c r="B389" s="142">
        <f t="shared" si="174"/>
        <v>183</v>
      </c>
      <c r="C389" s="62" t="s">
        <v>55</v>
      </c>
      <c r="D389" s="62" t="s">
        <v>784</v>
      </c>
      <c r="E389" s="123">
        <v>1975</v>
      </c>
      <c r="F389" s="123">
        <v>2008</v>
      </c>
      <c r="G389" s="123" t="s">
        <v>43</v>
      </c>
      <c r="H389" s="123">
        <v>4</v>
      </c>
      <c r="I389" s="123">
        <v>4</v>
      </c>
      <c r="J389" s="64">
        <v>4182.96</v>
      </c>
      <c r="K389" s="64">
        <v>3048.03</v>
      </c>
      <c r="L389" s="64">
        <v>978.37</v>
      </c>
      <c r="M389" s="124">
        <v>135</v>
      </c>
      <c r="N389" s="95">
        <f t="shared" si="179"/>
        <v>7445775.2167851608</v>
      </c>
      <c r="O389" s="64"/>
      <c r="P389" s="65"/>
      <c r="Q389" s="65"/>
      <c r="R389" s="65">
        <v>1267730.3899999999</v>
      </c>
      <c r="S389" s="65">
        <v>358340.09093139996</v>
      </c>
      <c r="T389" s="64">
        <f>+'Приложение №2'!E398-'Приложение №1'!P389-'Приложение №1'!R389-'Приложение №1'!S389</f>
        <v>5819704.7358537614</v>
      </c>
      <c r="U389" s="64">
        <f t="shared" ref="U389:V402" si="210">$N389/($K389+$L389)</f>
        <v>1849.2388279319393</v>
      </c>
      <c r="V389" s="64">
        <f t="shared" si="210"/>
        <v>1849.2388279319393</v>
      </c>
      <c r="W389" s="126">
        <v>2023</v>
      </c>
      <c r="X389" s="127" t="e">
        <f>+#REF!-'[1]Приложение №1'!$P754</f>
        <v>#REF!</v>
      </c>
      <c r="Z389" s="63">
        <f t="shared" si="195"/>
        <v>16048675.259999996</v>
      </c>
      <c r="AA389" s="64">
        <v>7026285.4671664191</v>
      </c>
      <c r="AB389" s="64">
        <v>2485979.4267953397</v>
      </c>
      <c r="AC389" s="64">
        <v>0</v>
      </c>
      <c r="AD389" s="64">
        <v>1626070.4809313999</v>
      </c>
      <c r="AE389" s="64">
        <v>2080726.7578889399</v>
      </c>
      <c r="AF389" s="64"/>
      <c r="AG389" s="64">
        <v>278790.22600296006</v>
      </c>
      <c r="AH389" s="64">
        <v>0</v>
      </c>
      <c r="AI389" s="64">
        <v>0</v>
      </c>
      <c r="AJ389" s="64">
        <v>0</v>
      </c>
      <c r="AK389" s="64">
        <v>0</v>
      </c>
      <c r="AL389" s="64">
        <v>0</v>
      </c>
      <c r="AM389" s="64">
        <v>2095165.4553</v>
      </c>
      <c r="AN389" s="65">
        <v>160486.75260000001</v>
      </c>
      <c r="AO389" s="66">
        <v>295170.69331494003</v>
      </c>
      <c r="AP389" s="128">
        <f>+N389-'Приложение №2'!E398</f>
        <v>0</v>
      </c>
      <c r="AQ389" s="23">
        <f>1500891.17-445165.35</f>
        <v>1055725.8199999998</v>
      </c>
      <c r="AR389" s="25">
        <f t="shared" si="187"/>
        <v>510486.54</v>
      </c>
      <c r="AS389" s="25">
        <f>+(K389*10+L389*20)*12*30-179374.89</f>
        <v>17837797.109999999</v>
      </c>
      <c r="AT389" s="127">
        <f t="shared" si="193"/>
        <v>-17479457.019068599</v>
      </c>
      <c r="AU389" s="127">
        <f>+P389-'[6]Приложение №1'!$P344</f>
        <v>-2155250.5499999993</v>
      </c>
      <c r="AV389" s="127">
        <f>+Q389-'[6]Приложение №1'!$Q344</f>
        <v>0</v>
      </c>
      <c r="AW389" s="63">
        <f t="shared" si="186"/>
        <v>6482605.1367851608</v>
      </c>
      <c r="AX389" s="64"/>
      <c r="AY389" s="64">
        <v>2485979.4267953397</v>
      </c>
      <c r="AZ389" s="64">
        <v>0</v>
      </c>
      <c r="BA389" s="64">
        <v>1661185.08</v>
      </c>
      <c r="BB389" s="64"/>
      <c r="BC389" s="64"/>
      <c r="BD389" s="64"/>
      <c r="BE389" s="64">
        <v>0</v>
      </c>
      <c r="BF389" s="64">
        <v>0</v>
      </c>
      <c r="BG389" s="64">
        <v>2047663.62</v>
      </c>
      <c r="BH389" s="64">
        <v>0</v>
      </c>
      <c r="BI389" s="64"/>
      <c r="BJ389" s="64"/>
      <c r="BK389" s="65"/>
      <c r="BL389" s="66">
        <v>287777.00998981996</v>
      </c>
    </row>
    <row r="390" spans="1:64" x14ac:dyDescent="0.25">
      <c r="A390" s="141">
        <f t="shared" si="173"/>
        <v>372</v>
      </c>
      <c r="B390" s="142">
        <f t="shared" si="174"/>
        <v>184</v>
      </c>
      <c r="C390" s="62" t="s">
        <v>55</v>
      </c>
      <c r="D390" s="62" t="s">
        <v>785</v>
      </c>
      <c r="E390" s="123">
        <v>1978</v>
      </c>
      <c r="F390" s="123">
        <v>2007</v>
      </c>
      <c r="G390" s="123" t="s">
        <v>43</v>
      </c>
      <c r="H390" s="123">
        <v>4</v>
      </c>
      <c r="I390" s="123">
        <v>4</v>
      </c>
      <c r="J390" s="64">
        <v>3576.31</v>
      </c>
      <c r="K390" s="64">
        <v>2733.31</v>
      </c>
      <c r="L390" s="64">
        <v>843</v>
      </c>
      <c r="M390" s="124">
        <v>110</v>
      </c>
      <c r="N390" s="95">
        <f t="shared" si="179"/>
        <v>3095120.1451458</v>
      </c>
      <c r="O390" s="64"/>
      <c r="P390" s="65"/>
      <c r="Q390" s="65"/>
      <c r="R390" s="65">
        <v>980541.27</v>
      </c>
      <c r="S390" s="65">
        <v>470781.95117915981</v>
      </c>
      <c r="T390" s="64">
        <f>+'Приложение №2'!E399-'Приложение №1'!P390-'Приложение №1'!R390-'Приложение №1'!S390</f>
        <v>1643796.9239666401</v>
      </c>
      <c r="U390" s="64">
        <f t="shared" si="210"/>
        <v>865.45074256588498</v>
      </c>
      <c r="V390" s="64">
        <f t="shared" si="210"/>
        <v>865.45074256588498</v>
      </c>
      <c r="W390" s="126">
        <v>2023</v>
      </c>
      <c r="X390" s="127" t="e">
        <f>+#REF!-'[1]Приложение №1'!$P755</f>
        <v>#REF!</v>
      </c>
      <c r="Z390" s="63">
        <f t="shared" si="195"/>
        <v>14323988.610000001</v>
      </c>
      <c r="AA390" s="64">
        <v>6271198.8006540602</v>
      </c>
      <c r="AB390" s="64">
        <v>2218821.2026700997</v>
      </c>
      <c r="AC390" s="64">
        <v>0</v>
      </c>
      <c r="AD390" s="64">
        <v>1451323.2211791598</v>
      </c>
      <c r="AE390" s="64">
        <v>1857119.41303938</v>
      </c>
      <c r="AF390" s="64"/>
      <c r="AG390" s="64">
        <v>248829.75972035999</v>
      </c>
      <c r="AH390" s="64">
        <v>0</v>
      </c>
      <c r="AI390" s="64">
        <v>0</v>
      </c>
      <c r="AJ390" s="64">
        <v>0</v>
      </c>
      <c r="AK390" s="64">
        <v>0</v>
      </c>
      <c r="AL390" s="64">
        <v>0</v>
      </c>
      <c r="AM390" s="64">
        <v>1870006.4417999999</v>
      </c>
      <c r="AN390" s="65">
        <v>143239.88609999997</v>
      </c>
      <c r="AO390" s="66">
        <v>263449.88483693998</v>
      </c>
      <c r="AP390" s="128">
        <f>+N390-'Приложение №2'!E399</f>
        <v>0</v>
      </c>
      <c r="AQ390" s="23">
        <f>1278728.82-485172.67</f>
        <v>793556.15000000014</v>
      </c>
      <c r="AR390" s="25">
        <f t="shared" si="187"/>
        <v>450769.61999999994</v>
      </c>
      <c r="AS390" s="25">
        <f>+(K390*10+L390*20)*12*30-175262.76</f>
        <v>15734253.239999998</v>
      </c>
      <c r="AT390" s="127">
        <f t="shared" si="193"/>
        <v>-15263471.288820839</v>
      </c>
      <c r="AU390" s="127">
        <f>+P390-'[6]Приложение №1'!$P345</f>
        <v>-8083380.5966666685</v>
      </c>
      <c r="AV390" s="127">
        <f>+Q390-'[6]Приложение №1'!$Q345</f>
        <v>0</v>
      </c>
      <c r="AW390" s="63">
        <f t="shared" si="186"/>
        <v>3095120.1451458</v>
      </c>
      <c r="AX390" s="64"/>
      <c r="AY390" s="64"/>
      <c r="AZ390" s="64">
        <v>0</v>
      </c>
      <c r="BA390" s="64">
        <v>1490189.54</v>
      </c>
      <c r="BB390" s="64"/>
      <c r="BC390" s="64"/>
      <c r="BD390" s="64"/>
      <c r="BE390" s="64">
        <v>0</v>
      </c>
      <c r="BF390" s="64">
        <v>0</v>
      </c>
      <c r="BG390" s="64">
        <v>1396600.96</v>
      </c>
      <c r="BH390" s="64">
        <v>0</v>
      </c>
      <c r="BI390" s="64"/>
      <c r="BJ390" s="64"/>
      <c r="BK390" s="65"/>
      <c r="BL390" s="66">
        <v>208329.64514579996</v>
      </c>
    </row>
    <row r="391" spans="1:64" x14ac:dyDescent="0.25">
      <c r="A391" s="141">
        <f t="shared" si="173"/>
        <v>373</v>
      </c>
      <c r="B391" s="142">
        <f t="shared" si="174"/>
        <v>185</v>
      </c>
      <c r="C391" s="62" t="s">
        <v>55</v>
      </c>
      <c r="D391" s="62" t="s">
        <v>786</v>
      </c>
      <c r="E391" s="123">
        <v>1964</v>
      </c>
      <c r="F391" s="123">
        <v>1964</v>
      </c>
      <c r="G391" s="123" t="s">
        <v>43</v>
      </c>
      <c r="H391" s="123">
        <v>2</v>
      </c>
      <c r="I391" s="123">
        <v>2</v>
      </c>
      <c r="J391" s="64">
        <v>868.87</v>
      </c>
      <c r="K391" s="64">
        <v>613.55999999999995</v>
      </c>
      <c r="L391" s="64">
        <v>255.31</v>
      </c>
      <c r="M391" s="124">
        <v>26</v>
      </c>
      <c r="N391" s="95">
        <f t="shared" si="179"/>
        <v>601192.01953599998</v>
      </c>
      <c r="O391" s="64"/>
      <c r="P391" s="65"/>
      <c r="Q391" s="65"/>
      <c r="R391" s="65">
        <f t="shared" si="194"/>
        <v>292223.84999999998</v>
      </c>
      <c r="S391" s="65">
        <f>+'Приложение №2'!E400-'Приложение №1'!R391</f>
        <v>308968.169536</v>
      </c>
      <c r="T391" s="65"/>
      <c r="U391" s="64">
        <f t="shared" si="210"/>
        <v>691.92401571696576</v>
      </c>
      <c r="V391" s="64">
        <f t="shared" si="210"/>
        <v>691.92401571696576</v>
      </c>
      <c r="W391" s="126">
        <v>2023</v>
      </c>
      <c r="X391" s="127" t="e">
        <f>+#REF!-'[1]Приложение №1'!$P756</f>
        <v>#REF!</v>
      </c>
      <c r="Z391" s="63">
        <f t="shared" si="195"/>
        <v>6504868.2400000012</v>
      </c>
      <c r="AA391" s="64">
        <v>0</v>
      </c>
      <c r="AB391" s="64">
        <v>0</v>
      </c>
      <c r="AC391" s="64">
        <v>516103.55464625999</v>
      </c>
      <c r="AD391" s="64">
        <v>0</v>
      </c>
      <c r="AE391" s="64">
        <v>0</v>
      </c>
      <c r="AF391" s="64"/>
      <c r="AG391" s="64">
        <v>0</v>
      </c>
      <c r="AH391" s="64">
        <v>0</v>
      </c>
      <c r="AI391" s="64">
        <v>5207195.1827070005</v>
      </c>
      <c r="AJ391" s="64">
        <v>0</v>
      </c>
      <c r="AK391" s="64">
        <v>0</v>
      </c>
      <c r="AL391" s="64">
        <v>0</v>
      </c>
      <c r="AM391" s="64">
        <v>591363.86849999998</v>
      </c>
      <c r="AN391" s="65">
        <v>65048.682400000005</v>
      </c>
      <c r="AO391" s="66">
        <v>125156.95174674</v>
      </c>
      <c r="AP391" s="128">
        <f>+N391-'Приложение №2'!E400</f>
        <v>0</v>
      </c>
      <c r="AQ391" s="23">
        <f>278417.8-100860.31</f>
        <v>177557.49</v>
      </c>
      <c r="AR391" s="25">
        <f t="shared" si="187"/>
        <v>114666.35999999997</v>
      </c>
      <c r="AS391" s="25">
        <f>+(K391*10+L391*20)*12*30-29524.86</f>
        <v>4017523.1399999992</v>
      </c>
      <c r="AT391" s="127">
        <f t="shared" si="193"/>
        <v>-3708554.9704639991</v>
      </c>
      <c r="AU391" s="127">
        <f>+P391-'[6]Приложение №1'!$P346</f>
        <v>13067801.45375926</v>
      </c>
      <c r="AV391" s="127">
        <f>+Q391-'[6]Приложение №1'!$Q346</f>
        <v>0</v>
      </c>
      <c r="AW391" s="63">
        <f t="shared" si="186"/>
        <v>601192.01953599998</v>
      </c>
      <c r="AX391" s="64">
        <v>0</v>
      </c>
      <c r="AY391" s="64">
        <v>0</v>
      </c>
      <c r="AZ391" s="64">
        <v>467037.62309399992</v>
      </c>
      <c r="BA391" s="64">
        <v>0</v>
      </c>
      <c r="BB391" s="64">
        <v>0</v>
      </c>
      <c r="BC391" s="64"/>
      <c r="BD391" s="64"/>
      <c r="BE391" s="64">
        <v>0</v>
      </c>
      <c r="BF391" s="64"/>
      <c r="BG391" s="64">
        <v>0</v>
      </c>
      <c r="BH391" s="64">
        <v>0</v>
      </c>
      <c r="BI391" s="64">
        <v>0</v>
      </c>
      <c r="BJ391" s="64"/>
      <c r="BK391" s="65"/>
      <c r="BL391" s="66">
        <v>134154.396442</v>
      </c>
    </row>
    <row r="392" spans="1:64" x14ac:dyDescent="0.25">
      <c r="A392" s="141">
        <f t="shared" si="173"/>
        <v>374</v>
      </c>
      <c r="B392" s="142">
        <f t="shared" si="174"/>
        <v>186</v>
      </c>
      <c r="C392" s="62" t="s">
        <v>55</v>
      </c>
      <c r="D392" s="62" t="s">
        <v>788</v>
      </c>
      <c r="E392" s="123">
        <v>1962</v>
      </c>
      <c r="F392" s="123">
        <v>2017</v>
      </c>
      <c r="G392" s="123" t="s">
        <v>43</v>
      </c>
      <c r="H392" s="123">
        <v>2</v>
      </c>
      <c r="I392" s="123">
        <v>2</v>
      </c>
      <c r="J392" s="64">
        <v>1087.26</v>
      </c>
      <c r="K392" s="64">
        <v>641.25</v>
      </c>
      <c r="L392" s="64">
        <v>254.58</v>
      </c>
      <c r="M392" s="124">
        <v>29</v>
      </c>
      <c r="N392" s="95">
        <f t="shared" si="179"/>
        <v>549084.61</v>
      </c>
      <c r="O392" s="64"/>
      <c r="P392" s="65"/>
      <c r="Q392" s="65"/>
      <c r="R392" s="65">
        <f t="shared" si="194"/>
        <v>294150.18</v>
      </c>
      <c r="S392" s="65">
        <f>+'Приложение №2'!E401-'Приложение №1'!R392</f>
        <v>254934.43</v>
      </c>
      <c r="T392" s="65">
        <v>0</v>
      </c>
      <c r="U392" s="64">
        <f t="shared" si="210"/>
        <v>612.93393835884035</v>
      </c>
      <c r="V392" s="64">
        <f t="shared" si="210"/>
        <v>612.93393835884035</v>
      </c>
      <c r="W392" s="126">
        <v>2023</v>
      </c>
      <c r="X392" s="127" t="e">
        <f>+#REF!-'[1]Приложение №1'!$P757</f>
        <v>#REF!</v>
      </c>
      <c r="Z392" s="63">
        <f t="shared" si="195"/>
        <v>616949</v>
      </c>
      <c r="AA392" s="64">
        <v>0</v>
      </c>
      <c r="AB392" s="64">
        <v>0</v>
      </c>
      <c r="AC392" s="64">
        <v>537334.19934599998</v>
      </c>
      <c r="AD392" s="64">
        <v>0</v>
      </c>
      <c r="AE392" s="64">
        <v>0</v>
      </c>
      <c r="AF392" s="64"/>
      <c r="AG392" s="64">
        <v>0</v>
      </c>
      <c r="AH392" s="64">
        <v>0</v>
      </c>
      <c r="AI392" s="64">
        <v>0</v>
      </c>
      <c r="AJ392" s="64">
        <v>0</v>
      </c>
      <c r="AK392" s="64">
        <v>0</v>
      </c>
      <c r="AL392" s="64">
        <v>0</v>
      </c>
      <c r="AM392" s="64">
        <v>61694.9</v>
      </c>
      <c r="AN392" s="65">
        <v>6169.49</v>
      </c>
      <c r="AO392" s="66">
        <v>11750.410653999999</v>
      </c>
      <c r="AP392" s="128">
        <f>+N392-'Приложение №2'!E401</f>
        <v>0</v>
      </c>
      <c r="AQ392" s="23">
        <f>309756.66-132948.3</f>
        <v>176808.36</v>
      </c>
      <c r="AR392" s="25">
        <f t="shared" si="187"/>
        <v>117341.82</v>
      </c>
      <c r="AS392" s="25">
        <f>+(K392*10+L392*20)*12*30-30726.12</f>
        <v>4110749.8800000004</v>
      </c>
      <c r="AT392" s="127">
        <f t="shared" si="193"/>
        <v>-3855815.45</v>
      </c>
      <c r="AU392" s="127">
        <f>+P392-'[6]Приложение №1'!$P347</f>
        <v>-2967693.21</v>
      </c>
      <c r="AV392" s="127">
        <f>+Q392-'[6]Приложение №1'!$Q347</f>
        <v>0</v>
      </c>
      <c r="AW392" s="63">
        <f t="shared" si="186"/>
        <v>549084.61</v>
      </c>
      <c r="AX392" s="64">
        <v>0</v>
      </c>
      <c r="AY392" s="64">
        <v>0</v>
      </c>
      <c r="AZ392" s="64">
        <v>537334.19934599998</v>
      </c>
      <c r="BA392" s="64">
        <v>0</v>
      </c>
      <c r="BB392" s="64">
        <v>0</v>
      </c>
      <c r="BC392" s="64"/>
      <c r="BD392" s="64"/>
      <c r="BE392" s="64">
        <v>0</v>
      </c>
      <c r="BF392" s="64">
        <v>0</v>
      </c>
      <c r="BG392" s="64">
        <v>0</v>
      </c>
      <c r="BH392" s="64">
        <v>0</v>
      </c>
      <c r="BI392" s="64">
        <v>0</v>
      </c>
      <c r="BJ392" s="64"/>
      <c r="BK392" s="65"/>
      <c r="BL392" s="66">
        <v>11750.410653999999</v>
      </c>
    </row>
    <row r="393" spans="1:64" x14ac:dyDescent="0.25">
      <c r="A393" s="141">
        <f t="shared" si="173"/>
        <v>375</v>
      </c>
      <c r="B393" s="142">
        <f t="shared" si="174"/>
        <v>187</v>
      </c>
      <c r="C393" s="62" t="s">
        <v>65</v>
      </c>
      <c r="D393" s="62" t="s">
        <v>799</v>
      </c>
      <c r="E393" s="123">
        <v>1984</v>
      </c>
      <c r="F393" s="123">
        <v>2010</v>
      </c>
      <c r="G393" s="123" t="s">
        <v>43</v>
      </c>
      <c r="H393" s="123">
        <v>5</v>
      </c>
      <c r="I393" s="123">
        <v>4</v>
      </c>
      <c r="J393" s="64">
        <v>3209.1</v>
      </c>
      <c r="K393" s="64">
        <v>1814.6</v>
      </c>
      <c r="L393" s="64">
        <v>635</v>
      </c>
      <c r="M393" s="124">
        <v>66</v>
      </c>
      <c r="N393" s="63">
        <f t="shared" si="179"/>
        <v>526378.2994685102</v>
      </c>
      <c r="O393" s="64"/>
      <c r="P393" s="65"/>
      <c r="Q393" s="65"/>
      <c r="R393" s="65">
        <f>+'Приложение №2'!E402</f>
        <v>526378.2994685102</v>
      </c>
      <c r="S393" s="65"/>
      <c r="T393" s="64"/>
      <c r="U393" s="65">
        <f>$N393/($K393+$L393)</f>
        <v>214.88336849628928</v>
      </c>
      <c r="V393" s="65">
        <f>$N393/($K393+$L393)</f>
        <v>214.88336849628928</v>
      </c>
      <c r="W393" s="126">
        <v>2023</v>
      </c>
      <c r="X393" s="127" t="e">
        <f>+#REF!-'[1]Приложение №1'!$P1748</f>
        <v>#REF!</v>
      </c>
      <c r="Z393" s="63">
        <f>SUM(AA393:AO393)</f>
        <v>1865966.0654482848</v>
      </c>
      <c r="AA393" s="64"/>
      <c r="AB393" s="64"/>
      <c r="AC393" s="64"/>
      <c r="AD393" s="64">
        <v>1570389.5768170147</v>
      </c>
      <c r="AE393" s="64">
        <v>0</v>
      </c>
      <c r="AF393" s="64"/>
      <c r="AG393" s="64">
        <v>0</v>
      </c>
      <c r="AH393" s="64">
        <v>0</v>
      </c>
      <c r="AI393" s="64">
        <v>0</v>
      </c>
      <c r="AJ393" s="64">
        <v>0</v>
      </c>
      <c r="AK393" s="64">
        <v>0</v>
      </c>
      <c r="AL393" s="64">
        <v>0</v>
      </c>
      <c r="AM393" s="64">
        <v>242575.58850827703</v>
      </c>
      <c r="AN393" s="65">
        <v>18659.66065448285</v>
      </c>
      <c r="AO393" s="66">
        <v>34341.239468510234</v>
      </c>
      <c r="AP393" s="128">
        <f>+N393-'Приложение №2'!E402</f>
        <v>0</v>
      </c>
      <c r="AQ393" s="23">
        <v>1304593.93</v>
      </c>
      <c r="AR393" s="25">
        <f>+(K393*10+L393*20)*12*0.85</f>
        <v>314629.2</v>
      </c>
      <c r="AS393" s="25">
        <f>+(K393*10+L393*20)*12*30</f>
        <v>11104560</v>
      </c>
      <c r="AT393" s="127">
        <f>+S393-AS393</f>
        <v>-11104560</v>
      </c>
      <c r="AW393" s="63">
        <f t="shared" si="186"/>
        <v>526378.2994685102</v>
      </c>
      <c r="AX393" s="64"/>
      <c r="AY393" s="64"/>
      <c r="AZ393" s="64"/>
      <c r="BA393" s="64">
        <v>492037.06</v>
      </c>
      <c r="BB393" s="64">
        <v>0</v>
      </c>
      <c r="BC393" s="64"/>
      <c r="BD393" s="64"/>
      <c r="BE393" s="64">
        <v>0</v>
      </c>
      <c r="BF393" s="64">
        <v>0</v>
      </c>
      <c r="BG393" s="64">
        <v>0</v>
      </c>
      <c r="BH393" s="64">
        <v>0</v>
      </c>
      <c r="BI393" s="64">
        <v>0</v>
      </c>
      <c r="BJ393" s="64"/>
      <c r="BK393" s="65"/>
      <c r="BL393" s="66">
        <v>34341.239468510234</v>
      </c>
    </row>
    <row r="394" spans="1:64" x14ac:dyDescent="0.25">
      <c r="A394" s="141">
        <f t="shared" si="173"/>
        <v>376</v>
      </c>
      <c r="B394" s="142">
        <f t="shared" si="174"/>
        <v>188</v>
      </c>
      <c r="C394" s="62" t="s">
        <v>65</v>
      </c>
      <c r="D394" s="62" t="s">
        <v>800</v>
      </c>
      <c r="E394" s="123">
        <v>1982</v>
      </c>
      <c r="F394" s="123"/>
      <c r="G394" s="123" t="s">
        <v>43</v>
      </c>
      <c r="H394" s="123">
        <v>5</v>
      </c>
      <c r="I394" s="123">
        <v>4</v>
      </c>
      <c r="J394" s="64">
        <v>3359.7</v>
      </c>
      <c r="K394" s="64">
        <v>2436.8000000000002</v>
      </c>
      <c r="L394" s="64">
        <v>338.7</v>
      </c>
      <c r="M394" s="124">
        <v>80</v>
      </c>
      <c r="N394" s="95">
        <f t="shared" si="179"/>
        <v>520542.46</v>
      </c>
      <c r="O394" s="64"/>
      <c r="P394" s="65">
        <f>+'[8]Приложение №2'!E350-'[8]Приложение №1'!R350-'[8]Приложение №1'!S350</f>
        <v>0</v>
      </c>
      <c r="Q394" s="65"/>
      <c r="R394" s="65">
        <f>+'Приложение №2'!E403</f>
        <v>520542.46</v>
      </c>
      <c r="S394" s="65"/>
      <c r="T394" s="65"/>
      <c r="U394" s="64">
        <f t="shared" si="210"/>
        <v>187.5490758421906</v>
      </c>
      <c r="V394" s="64">
        <f t="shared" si="210"/>
        <v>187.5490758421906</v>
      </c>
      <c r="W394" s="126">
        <v>2023</v>
      </c>
      <c r="X394" s="127"/>
      <c r="Z394" s="63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5"/>
      <c r="AO394" s="66"/>
      <c r="AP394" s="128">
        <f>+N394-'Приложение №2'!E403</f>
        <v>0</v>
      </c>
      <c r="AQ394" s="67">
        <v>1709418.27</v>
      </c>
      <c r="AR394" s="25">
        <f t="shared" si="187"/>
        <v>317648.39999999997</v>
      </c>
      <c r="AS394" s="25">
        <f t="shared" ref="AS394:AS400" si="211">+(K394*10+L394*20)*12*30</f>
        <v>11211120</v>
      </c>
      <c r="AT394" s="127">
        <f t="shared" si="193"/>
        <v>-11211120</v>
      </c>
      <c r="AW394" s="63">
        <f t="shared" si="186"/>
        <v>520542.46</v>
      </c>
      <c r="AX394" s="64"/>
      <c r="AY394" s="64"/>
      <c r="AZ394" s="64"/>
      <c r="BA394" s="64">
        <v>520542.46</v>
      </c>
      <c r="BB394" s="64"/>
      <c r="BC394" s="64"/>
      <c r="BD394" s="64"/>
      <c r="BE394" s="64"/>
      <c r="BF394" s="64"/>
      <c r="BG394" s="64"/>
      <c r="BH394" s="64"/>
      <c r="BI394" s="64"/>
      <c r="BJ394" s="64"/>
      <c r="BK394" s="65"/>
      <c r="BL394" s="66"/>
    </row>
    <row r="395" spans="1:64" x14ac:dyDescent="0.25">
      <c r="A395" s="141">
        <f t="shared" si="173"/>
        <v>377</v>
      </c>
      <c r="B395" s="142">
        <f t="shared" si="174"/>
        <v>189</v>
      </c>
      <c r="C395" s="62" t="s">
        <v>65</v>
      </c>
      <c r="D395" s="62" t="s">
        <v>803</v>
      </c>
      <c r="E395" s="123">
        <v>1993</v>
      </c>
      <c r="F395" s="123">
        <v>2013</v>
      </c>
      <c r="G395" s="123" t="s">
        <v>43</v>
      </c>
      <c r="H395" s="123">
        <v>5</v>
      </c>
      <c r="I395" s="123">
        <v>4</v>
      </c>
      <c r="J395" s="64">
        <v>3395.5</v>
      </c>
      <c r="K395" s="64">
        <v>2227.23</v>
      </c>
      <c r="L395" s="64">
        <v>0</v>
      </c>
      <c r="M395" s="124">
        <v>37</v>
      </c>
      <c r="N395" s="95">
        <f t="shared" si="179"/>
        <v>6350031.4946001265</v>
      </c>
      <c r="O395" s="64"/>
      <c r="P395" s="65"/>
      <c r="Q395" s="65"/>
      <c r="R395" s="65">
        <f t="shared" ref="R395:R400" si="212">+AQ395+AR395</f>
        <v>1000336.4099999999</v>
      </c>
      <c r="S395" s="65">
        <f>+'Приложение №2'!E404-'Приложение №1'!R395</f>
        <v>5349695.0846001264</v>
      </c>
      <c r="T395" s="65">
        <v>0</v>
      </c>
      <c r="U395" s="64">
        <f t="shared" si="210"/>
        <v>2851.0892429610444</v>
      </c>
      <c r="V395" s="64">
        <f t="shared" si="210"/>
        <v>2851.0892429610444</v>
      </c>
      <c r="W395" s="126">
        <v>2023</v>
      </c>
      <c r="X395" s="127" t="e">
        <f>+#REF!-'[1]Приложение №1'!$P1148</f>
        <v>#REF!</v>
      </c>
      <c r="Z395" s="63">
        <f t="shared" ref="Z395:Z401" si="213">SUM(AA395:AO395)</f>
        <v>6360267.7595478538</v>
      </c>
      <c r="AA395" s="64">
        <v>0</v>
      </c>
      <c r="AB395" s="64">
        <v>0</v>
      </c>
      <c r="AC395" s="64">
        <v>3320012.5520375175</v>
      </c>
      <c r="AD395" s="64">
        <v>2144673.8887888566</v>
      </c>
      <c r="AE395" s="64">
        <v>0</v>
      </c>
      <c r="AF395" s="64"/>
      <c r="AG395" s="64">
        <v>0</v>
      </c>
      <c r="AH395" s="64">
        <v>0</v>
      </c>
      <c r="AI395" s="64">
        <v>0</v>
      </c>
      <c r="AJ395" s="64">
        <v>0</v>
      </c>
      <c r="AK395" s="64">
        <v>0</v>
      </c>
      <c r="AL395" s="64">
        <v>0</v>
      </c>
      <c r="AM395" s="64">
        <v>712477.0165258738</v>
      </c>
      <c r="AN395" s="65">
        <v>63602.677595478541</v>
      </c>
      <c r="AO395" s="66">
        <v>119501.62460012714</v>
      </c>
      <c r="AP395" s="128">
        <f>+N395-'Приложение №2'!E404</f>
        <v>0</v>
      </c>
      <c r="AQ395" s="23">
        <v>773158.95</v>
      </c>
      <c r="AR395" s="25">
        <f t="shared" si="187"/>
        <v>227177.45999999996</v>
      </c>
      <c r="AS395" s="25">
        <f t="shared" si="211"/>
        <v>8018027.9999999991</v>
      </c>
      <c r="AT395" s="127">
        <f t="shared" si="193"/>
        <v>-2668332.9153998727</v>
      </c>
      <c r="AU395" s="127">
        <f>+P395-'[6]Приложение №1'!$P351</f>
        <v>-1491506.5999999996</v>
      </c>
      <c r="AV395" s="127">
        <f>+Q395-'[6]Приложение №1'!$Q351</f>
        <v>0</v>
      </c>
      <c r="AW395" s="63">
        <f t="shared" si="186"/>
        <v>6350031.4946001265</v>
      </c>
      <c r="AX395" s="64">
        <v>0</v>
      </c>
      <c r="AY395" s="64">
        <v>0</v>
      </c>
      <c r="AZ395" s="64">
        <v>3751583.61</v>
      </c>
      <c r="BA395" s="64">
        <v>2478946.2599999998</v>
      </c>
      <c r="BB395" s="64">
        <v>0</v>
      </c>
      <c r="BC395" s="64"/>
      <c r="BD395" s="64"/>
      <c r="BE395" s="64">
        <v>0</v>
      </c>
      <c r="BF395" s="64">
        <v>0</v>
      </c>
      <c r="BG395" s="64">
        <v>0</v>
      </c>
      <c r="BH395" s="64">
        <v>0</v>
      </c>
      <c r="BI395" s="64">
        <v>0</v>
      </c>
      <c r="BJ395" s="64"/>
      <c r="BK395" s="65"/>
      <c r="BL395" s="66">
        <v>119501.62460012714</v>
      </c>
    </row>
    <row r="396" spans="1:64" x14ac:dyDescent="0.25">
      <c r="A396" s="141">
        <f t="shared" si="173"/>
        <v>378</v>
      </c>
      <c r="B396" s="142">
        <f t="shared" si="174"/>
        <v>190</v>
      </c>
      <c r="C396" s="62" t="s">
        <v>65</v>
      </c>
      <c r="D396" s="62" t="s">
        <v>804</v>
      </c>
      <c r="E396" s="123">
        <v>1969</v>
      </c>
      <c r="F396" s="123">
        <v>2013</v>
      </c>
      <c r="G396" s="123" t="s">
        <v>43</v>
      </c>
      <c r="H396" s="123">
        <v>4</v>
      </c>
      <c r="I396" s="123">
        <v>2</v>
      </c>
      <c r="J396" s="64">
        <v>1421.6</v>
      </c>
      <c r="K396" s="64">
        <v>1089.9000000000001</v>
      </c>
      <c r="L396" s="64">
        <v>300.27999999999997</v>
      </c>
      <c r="M396" s="124">
        <v>49</v>
      </c>
      <c r="N396" s="95">
        <f t="shared" si="179"/>
        <v>1949615.1872890538</v>
      </c>
      <c r="O396" s="64"/>
      <c r="P396" s="65"/>
      <c r="Q396" s="65"/>
      <c r="R396" s="65">
        <f t="shared" si="212"/>
        <v>657903.43999999994</v>
      </c>
      <c r="S396" s="65">
        <f>+'Приложение №2'!E405-'Приложение №1'!R396</f>
        <v>1291711.7472890539</v>
      </c>
      <c r="T396" s="65">
        <v>0</v>
      </c>
      <c r="U396" s="64">
        <f t="shared" si="210"/>
        <v>1402.419245917114</v>
      </c>
      <c r="V396" s="64">
        <f t="shared" si="210"/>
        <v>1402.419245917114</v>
      </c>
      <c r="W396" s="126">
        <v>2023</v>
      </c>
      <c r="X396" s="127" t="e">
        <f>+#REF!-'[1]Приложение №1'!$P1149</f>
        <v>#REF!</v>
      </c>
      <c r="Z396" s="63">
        <f t="shared" si="213"/>
        <v>1959828.6931142404</v>
      </c>
      <c r="AA396" s="64">
        <v>0</v>
      </c>
      <c r="AB396" s="64">
        <v>0</v>
      </c>
      <c r="AC396" s="64">
        <v>1706920.6395826202</v>
      </c>
      <c r="AD396" s="64">
        <v>0</v>
      </c>
      <c r="AE396" s="64">
        <v>0</v>
      </c>
      <c r="AF396" s="64"/>
      <c r="AG396" s="64">
        <v>0</v>
      </c>
      <c r="AH396" s="64">
        <v>0</v>
      </c>
      <c r="AI396" s="64">
        <v>0</v>
      </c>
      <c r="AJ396" s="64">
        <v>0</v>
      </c>
      <c r="AK396" s="64">
        <v>0</v>
      </c>
      <c r="AL396" s="64">
        <v>0</v>
      </c>
      <c r="AM396" s="64">
        <v>195982.86931142406</v>
      </c>
      <c r="AN396" s="65">
        <v>19598.286931142404</v>
      </c>
      <c r="AO396" s="66">
        <v>37326.897289053828</v>
      </c>
      <c r="AP396" s="128">
        <f>+N396-'Приложение №2'!E405</f>
        <v>0</v>
      </c>
      <c r="AQ396" s="23">
        <v>485476.52</v>
      </c>
      <c r="AR396" s="25">
        <f t="shared" si="187"/>
        <v>172426.91999999998</v>
      </c>
      <c r="AS396" s="25">
        <f t="shared" si="211"/>
        <v>6085655.9999999991</v>
      </c>
      <c r="AT396" s="127">
        <f t="shared" si="193"/>
        <v>-4793944.252710945</v>
      </c>
      <c r="AU396" s="127">
        <f>+P396-'[6]Приложение №1'!$P352</f>
        <v>8321.410000000149</v>
      </c>
      <c r="AV396" s="127">
        <f>+Q396-'[6]Приложение №1'!$Q352</f>
        <v>0</v>
      </c>
      <c r="AW396" s="63">
        <f t="shared" si="186"/>
        <v>1949615.1872890538</v>
      </c>
      <c r="AX396" s="64">
        <v>0</v>
      </c>
      <c r="AY396" s="64">
        <v>0</v>
      </c>
      <c r="AZ396" s="64">
        <v>1912288.29</v>
      </c>
      <c r="BA396" s="64">
        <v>0</v>
      </c>
      <c r="BB396" s="64">
        <v>0</v>
      </c>
      <c r="BC396" s="64"/>
      <c r="BD396" s="64"/>
      <c r="BE396" s="64">
        <v>0</v>
      </c>
      <c r="BF396" s="64">
        <v>0</v>
      </c>
      <c r="BG396" s="64">
        <v>0</v>
      </c>
      <c r="BH396" s="64">
        <v>0</v>
      </c>
      <c r="BI396" s="64">
        <v>0</v>
      </c>
      <c r="BJ396" s="64"/>
      <c r="BK396" s="65"/>
      <c r="BL396" s="66">
        <v>37326.897289053828</v>
      </c>
    </row>
    <row r="397" spans="1:64" x14ac:dyDescent="0.25">
      <c r="A397" s="141">
        <f t="shared" si="173"/>
        <v>379</v>
      </c>
      <c r="B397" s="142">
        <f t="shared" si="174"/>
        <v>191</v>
      </c>
      <c r="C397" s="62" t="s">
        <v>65</v>
      </c>
      <c r="D397" s="62" t="s">
        <v>382</v>
      </c>
      <c r="E397" s="123">
        <v>1979</v>
      </c>
      <c r="F397" s="123">
        <v>2013</v>
      </c>
      <c r="G397" s="123" t="s">
        <v>43</v>
      </c>
      <c r="H397" s="123">
        <v>5</v>
      </c>
      <c r="I397" s="123">
        <v>4</v>
      </c>
      <c r="J397" s="64">
        <v>3313.8</v>
      </c>
      <c r="K397" s="64">
        <v>2402.9</v>
      </c>
      <c r="L397" s="64">
        <v>0</v>
      </c>
      <c r="M397" s="124">
        <v>83</v>
      </c>
      <c r="N397" s="63">
        <f t="shared" si="179"/>
        <v>466454.1786358984</v>
      </c>
      <c r="O397" s="64"/>
      <c r="P397" s="65"/>
      <c r="Q397" s="65"/>
      <c r="R397" s="65">
        <f>+'Приложение №2'!E406</f>
        <v>466454.1786358984</v>
      </c>
      <c r="S397" s="65">
        <f>+'Приложение №2'!E406-'Приложение №1'!R397</f>
        <v>0</v>
      </c>
      <c r="T397" s="64">
        <f>+'Приложение №2'!E406-'Приложение №1'!P397-'Приложение №1'!Q397-'Приложение №1'!R397-'Приложение №1'!S397</f>
        <v>0</v>
      </c>
      <c r="U397" s="65">
        <f>$N397/($K397+$L397)</f>
        <v>194.12134447371858</v>
      </c>
      <c r="V397" s="65">
        <f>$N397/($K397+$L397)</f>
        <v>194.12134447371858</v>
      </c>
      <c r="W397" s="126">
        <v>2023</v>
      </c>
      <c r="X397" s="127" t="e">
        <f>+#REF!-'[1]Приложение №1'!$P1539</f>
        <v>#REF!</v>
      </c>
      <c r="Z397" s="63">
        <f>SUM(AA397:AO397)</f>
        <v>2386447.4372907174</v>
      </c>
      <c r="AA397" s="64"/>
      <c r="AB397" s="64"/>
      <c r="AC397" s="64"/>
      <c r="AD397" s="64">
        <v>2008424.6174341184</v>
      </c>
      <c r="AE397" s="64">
        <v>0</v>
      </c>
      <c r="AF397" s="64"/>
      <c r="AG397" s="64">
        <v>0</v>
      </c>
      <c r="AH397" s="64">
        <v>0</v>
      </c>
      <c r="AI397" s="64">
        <v>0</v>
      </c>
      <c r="AJ397" s="64">
        <v>0</v>
      </c>
      <c r="AK397" s="64">
        <v>0</v>
      </c>
      <c r="AL397" s="64">
        <v>0</v>
      </c>
      <c r="AM397" s="64">
        <v>310238.16684779321</v>
      </c>
      <c r="AN397" s="65">
        <v>23864.474372907171</v>
      </c>
      <c r="AO397" s="66">
        <v>43920.178635898366</v>
      </c>
      <c r="AP397" s="128">
        <f>+N397-'Приложение №2'!E406</f>
        <v>0</v>
      </c>
      <c r="AQ397" s="23">
        <f>846724.36-198805.3544</f>
        <v>647919.00560000003</v>
      </c>
      <c r="AR397" s="25">
        <f>+(K397*10+L397*20)*12*0.85</f>
        <v>245095.8</v>
      </c>
      <c r="AS397" s="25">
        <f>+(K397*10+L397*20)*12*30-658098.6</f>
        <v>7992341.4000000004</v>
      </c>
      <c r="AT397" s="127">
        <f>+S397-AS397</f>
        <v>-7992341.4000000004</v>
      </c>
      <c r="AW397" s="63">
        <f t="shared" si="186"/>
        <v>466454.1786358984</v>
      </c>
      <c r="AX397" s="64"/>
      <c r="AY397" s="64"/>
      <c r="AZ397" s="64"/>
      <c r="BA397" s="64">
        <v>422534</v>
      </c>
      <c r="BB397" s="64">
        <v>0</v>
      </c>
      <c r="BC397" s="64"/>
      <c r="BD397" s="64"/>
      <c r="BE397" s="64">
        <v>0</v>
      </c>
      <c r="BF397" s="64">
        <v>0</v>
      </c>
      <c r="BG397" s="64">
        <v>0</v>
      </c>
      <c r="BH397" s="64">
        <v>0</v>
      </c>
      <c r="BI397" s="64">
        <v>0</v>
      </c>
      <c r="BJ397" s="64"/>
      <c r="BK397" s="65"/>
      <c r="BL397" s="66">
        <v>43920.178635898366</v>
      </c>
    </row>
    <row r="398" spans="1:64" x14ac:dyDescent="0.25">
      <c r="A398" s="141">
        <f t="shared" si="173"/>
        <v>380</v>
      </c>
      <c r="B398" s="142">
        <f t="shared" si="174"/>
        <v>192</v>
      </c>
      <c r="C398" s="62" t="s">
        <v>65</v>
      </c>
      <c r="D398" s="62" t="s">
        <v>806</v>
      </c>
      <c r="E398" s="123">
        <v>1971</v>
      </c>
      <c r="F398" s="123">
        <v>2013</v>
      </c>
      <c r="G398" s="123" t="s">
        <v>43</v>
      </c>
      <c r="H398" s="123">
        <v>3</v>
      </c>
      <c r="I398" s="123">
        <v>1</v>
      </c>
      <c r="J398" s="64">
        <v>536</v>
      </c>
      <c r="K398" s="64">
        <v>489.9</v>
      </c>
      <c r="L398" s="64">
        <v>0</v>
      </c>
      <c r="M398" s="124">
        <v>16</v>
      </c>
      <c r="N398" s="95">
        <f t="shared" si="179"/>
        <v>721601.24847460375</v>
      </c>
      <c r="O398" s="64"/>
      <c r="P398" s="65"/>
      <c r="Q398" s="65"/>
      <c r="R398" s="65">
        <f t="shared" si="212"/>
        <v>176134.18</v>
      </c>
      <c r="S398" s="65">
        <f>+'Приложение №2'!E407-'Приложение №1'!R398</f>
        <v>545467.06847460382</v>
      </c>
      <c r="T398" s="65">
        <v>2.9103830456733704E-11</v>
      </c>
      <c r="U398" s="64">
        <f t="shared" si="210"/>
        <v>1472.9562124405059</v>
      </c>
      <c r="V398" s="64">
        <f t="shared" si="210"/>
        <v>1472.9562124405059</v>
      </c>
      <c r="W398" s="126">
        <v>2023</v>
      </c>
      <c r="X398" s="127" t="e">
        <f>+#REF!-'[1]Приложение №1'!$P1151</f>
        <v>#REF!</v>
      </c>
      <c r="Z398" s="63">
        <f t="shared" si="213"/>
        <v>628529.26990464004</v>
      </c>
      <c r="AA398" s="64">
        <v>0</v>
      </c>
      <c r="AB398" s="64">
        <v>0</v>
      </c>
      <c r="AC398" s="64">
        <v>547420.0817405259</v>
      </c>
      <c r="AD398" s="64">
        <v>0</v>
      </c>
      <c r="AE398" s="64">
        <v>0</v>
      </c>
      <c r="AF398" s="64"/>
      <c r="AG398" s="64">
        <v>0</v>
      </c>
      <c r="AH398" s="64">
        <v>0</v>
      </c>
      <c r="AI398" s="64">
        <v>0</v>
      </c>
      <c r="AJ398" s="64">
        <v>0</v>
      </c>
      <c r="AK398" s="64">
        <v>0</v>
      </c>
      <c r="AL398" s="64">
        <v>0</v>
      </c>
      <c r="AM398" s="64">
        <v>62852.92699046401</v>
      </c>
      <c r="AN398" s="65">
        <v>6285.2926990464002</v>
      </c>
      <c r="AO398" s="66">
        <v>11970.968474603775</v>
      </c>
      <c r="AP398" s="128">
        <f>+N398-'Приложение №2'!E407</f>
        <v>0</v>
      </c>
      <c r="AQ398" s="23">
        <v>126164.38</v>
      </c>
      <c r="AR398" s="25">
        <f t="shared" si="187"/>
        <v>49969.799999999996</v>
      </c>
      <c r="AS398" s="25">
        <f t="shared" si="211"/>
        <v>1763640</v>
      </c>
      <c r="AT398" s="127">
        <f t="shared" si="193"/>
        <v>-1218172.9315253962</v>
      </c>
      <c r="AU398" s="127">
        <f>+P398-'[6]Приложение №1'!$P354</f>
        <v>-1136928.2899999998</v>
      </c>
      <c r="AV398" s="127">
        <f>+Q398-'[6]Приложение №1'!$Q354</f>
        <v>0</v>
      </c>
      <c r="AW398" s="63">
        <f t="shared" si="186"/>
        <v>721601.24847460375</v>
      </c>
      <c r="AX398" s="64">
        <v>0</v>
      </c>
      <c r="AY398" s="64">
        <v>0</v>
      </c>
      <c r="AZ398" s="64">
        <v>709630.28</v>
      </c>
      <c r="BA398" s="64">
        <v>0</v>
      </c>
      <c r="BB398" s="64">
        <v>0</v>
      </c>
      <c r="BC398" s="64"/>
      <c r="BD398" s="64"/>
      <c r="BE398" s="64">
        <v>0</v>
      </c>
      <c r="BF398" s="64">
        <v>0</v>
      </c>
      <c r="BG398" s="64">
        <v>0</v>
      </c>
      <c r="BH398" s="64">
        <v>0</v>
      </c>
      <c r="BI398" s="64">
        <v>0</v>
      </c>
      <c r="BJ398" s="64"/>
      <c r="BK398" s="65"/>
      <c r="BL398" s="66">
        <v>11970.968474603775</v>
      </c>
    </row>
    <row r="399" spans="1:64" x14ac:dyDescent="0.25">
      <c r="A399" s="141">
        <f t="shared" si="173"/>
        <v>381</v>
      </c>
      <c r="B399" s="142">
        <f t="shared" si="174"/>
        <v>193</v>
      </c>
      <c r="C399" s="62" t="s">
        <v>65</v>
      </c>
      <c r="D399" s="62" t="s">
        <v>809</v>
      </c>
      <c r="E399" s="123">
        <v>1965</v>
      </c>
      <c r="F399" s="123">
        <v>2006</v>
      </c>
      <c r="G399" s="123" t="s">
        <v>43</v>
      </c>
      <c r="H399" s="123">
        <v>3</v>
      </c>
      <c r="I399" s="123">
        <v>2</v>
      </c>
      <c r="J399" s="64">
        <v>1034.0999999999999</v>
      </c>
      <c r="K399" s="64">
        <v>959.8</v>
      </c>
      <c r="L399" s="64">
        <v>0</v>
      </c>
      <c r="M399" s="124">
        <v>25</v>
      </c>
      <c r="N399" s="95">
        <f t="shared" si="179"/>
        <v>7435273.7066505384</v>
      </c>
      <c r="O399" s="64"/>
      <c r="P399" s="65">
        <v>2175839.7215601779</v>
      </c>
      <c r="Q399" s="65"/>
      <c r="R399" s="65">
        <f t="shared" si="212"/>
        <v>484836.6</v>
      </c>
      <c r="S399" s="65">
        <f>+AS399</f>
        <v>3455280</v>
      </c>
      <c r="T399" s="65">
        <f>+'Приложение №2'!E408-'Приложение №1'!P399-'Приложение №1'!Q399-'Приложение №1'!R399-'Приложение №1'!S399</f>
        <v>1319317.3850903604</v>
      </c>
      <c r="U399" s="64">
        <f t="shared" si="210"/>
        <v>7746.6906716509047</v>
      </c>
      <c r="V399" s="64">
        <f t="shared" si="210"/>
        <v>7746.6906716509047</v>
      </c>
      <c r="W399" s="126">
        <v>2023</v>
      </c>
      <c r="X399" s="127" t="e">
        <f>+#REF!-'[1]Приложение №1'!$P1155</f>
        <v>#REF!</v>
      </c>
      <c r="Z399" s="63">
        <f t="shared" si="213"/>
        <v>26038489.198511466</v>
      </c>
      <c r="AA399" s="64">
        <v>4441619.6554886159</v>
      </c>
      <c r="AB399" s="64">
        <v>2682132.990999578</v>
      </c>
      <c r="AC399" s="64">
        <v>1072706.3721425538</v>
      </c>
      <c r="AD399" s="64">
        <v>0</v>
      </c>
      <c r="AE399" s="64">
        <v>0</v>
      </c>
      <c r="AF399" s="64"/>
      <c r="AG399" s="64">
        <v>321824.51388315129</v>
      </c>
      <c r="AH399" s="64">
        <v>0</v>
      </c>
      <c r="AI399" s="64">
        <v>13009549.596746104</v>
      </c>
      <c r="AJ399" s="64">
        <v>0</v>
      </c>
      <c r="AK399" s="64">
        <v>1422217.070121123</v>
      </c>
      <c r="AL399" s="64">
        <v>0</v>
      </c>
      <c r="AM399" s="64">
        <v>2326182.990992805</v>
      </c>
      <c r="AN399" s="65">
        <v>260384.89198511466</v>
      </c>
      <c r="AO399" s="66">
        <v>501871.1161524179</v>
      </c>
      <c r="AP399" s="128">
        <f>+N399-'Приложение №2'!E408</f>
        <v>0</v>
      </c>
      <c r="AQ399" s="23">
        <v>386937</v>
      </c>
      <c r="AR399" s="25">
        <f t="shared" si="187"/>
        <v>97899.599999999991</v>
      </c>
      <c r="AS399" s="25">
        <f t="shared" si="211"/>
        <v>3455280</v>
      </c>
      <c r="AT399" s="127">
        <f t="shared" si="193"/>
        <v>0</v>
      </c>
      <c r="AU399" s="127">
        <f>+P399-'[6]Приложение №1'!$P358</f>
        <v>0</v>
      </c>
      <c r="AV399" s="127">
        <f>+Q399-'[6]Приложение №1'!$Q358</f>
        <v>0</v>
      </c>
      <c r="AW399" s="63">
        <f t="shared" si="186"/>
        <v>7435273.7066505384</v>
      </c>
      <c r="AX399" s="64"/>
      <c r="AY399" s="64"/>
      <c r="AZ399" s="64"/>
      <c r="BA399" s="64">
        <v>0</v>
      </c>
      <c r="BB399" s="64">
        <v>0</v>
      </c>
      <c r="BC399" s="64"/>
      <c r="BD399" s="64"/>
      <c r="BE399" s="64">
        <v>0</v>
      </c>
      <c r="BF399" s="64">
        <v>7127323.29</v>
      </c>
      <c r="BG399" s="64">
        <v>0</v>
      </c>
      <c r="BH399" s="64"/>
      <c r="BI399" s="64">
        <v>0</v>
      </c>
      <c r="BJ399" s="64"/>
      <c r="BK399" s="65"/>
      <c r="BL399" s="66">
        <v>307950.4166505388</v>
      </c>
    </row>
    <row r="400" spans="1:64" x14ac:dyDescent="0.25">
      <c r="A400" s="141">
        <f t="shared" si="173"/>
        <v>382</v>
      </c>
      <c r="B400" s="142">
        <f t="shared" si="174"/>
        <v>194</v>
      </c>
      <c r="C400" s="62" t="s">
        <v>65</v>
      </c>
      <c r="D400" s="62" t="s">
        <v>218</v>
      </c>
      <c r="E400" s="123">
        <v>1970</v>
      </c>
      <c r="F400" s="123">
        <v>2013</v>
      </c>
      <c r="G400" s="123" t="s">
        <v>43</v>
      </c>
      <c r="H400" s="123">
        <v>4</v>
      </c>
      <c r="I400" s="123">
        <v>2</v>
      </c>
      <c r="J400" s="64">
        <v>1437.6</v>
      </c>
      <c r="K400" s="64">
        <v>1362.7</v>
      </c>
      <c r="L400" s="64">
        <v>0</v>
      </c>
      <c r="M400" s="124">
        <v>55</v>
      </c>
      <c r="N400" s="95">
        <f t="shared" si="179"/>
        <v>1465551.9724496503</v>
      </c>
      <c r="O400" s="64"/>
      <c r="P400" s="65"/>
      <c r="Q400" s="65"/>
      <c r="R400" s="65">
        <f t="shared" si="212"/>
        <v>706857.29</v>
      </c>
      <c r="S400" s="65">
        <f>+'Приложение №2'!E409-'Приложение №1'!R400</f>
        <v>758694.68244965025</v>
      </c>
      <c r="T400" s="65">
        <v>0</v>
      </c>
      <c r="U400" s="64">
        <f t="shared" si="210"/>
        <v>1075.476607066596</v>
      </c>
      <c r="V400" s="64">
        <f t="shared" si="210"/>
        <v>1075.476607066596</v>
      </c>
      <c r="W400" s="126">
        <v>2023</v>
      </c>
      <c r="X400" s="127" t="e">
        <f>+#REF!-'[1]Приложение №1'!$P1157</f>
        <v>#REF!</v>
      </c>
      <c r="Z400" s="63">
        <f t="shared" si="213"/>
        <v>1481678.1712512001</v>
      </c>
      <c r="AA400" s="64">
        <v>0</v>
      </c>
      <c r="AB400" s="64">
        <v>0</v>
      </c>
      <c r="AC400" s="64">
        <v>1290473.5299639178</v>
      </c>
      <c r="AD400" s="64">
        <v>0</v>
      </c>
      <c r="AE400" s="64">
        <v>0</v>
      </c>
      <c r="AF400" s="64"/>
      <c r="AG400" s="64">
        <v>0</v>
      </c>
      <c r="AH400" s="64">
        <v>0</v>
      </c>
      <c r="AI400" s="64">
        <v>0</v>
      </c>
      <c r="AJ400" s="64">
        <v>0</v>
      </c>
      <c r="AK400" s="64">
        <v>0</v>
      </c>
      <c r="AL400" s="64">
        <v>0</v>
      </c>
      <c r="AM400" s="64">
        <v>148167.81712512003</v>
      </c>
      <c r="AN400" s="65">
        <v>14816.781712512002</v>
      </c>
      <c r="AO400" s="66">
        <v>28220.042449650358</v>
      </c>
      <c r="AP400" s="128">
        <f>+N400-'Приложение №2'!E409</f>
        <v>0</v>
      </c>
      <c r="AQ400" s="23">
        <v>567861.89</v>
      </c>
      <c r="AR400" s="25">
        <f t="shared" si="187"/>
        <v>138995.4</v>
      </c>
      <c r="AS400" s="25">
        <f t="shared" si="211"/>
        <v>4905720</v>
      </c>
      <c r="AT400" s="127">
        <f t="shared" si="193"/>
        <v>-4147025.31755035</v>
      </c>
      <c r="AU400" s="127">
        <f>+P400-'[6]Приложение №1'!$P359</f>
        <v>0</v>
      </c>
      <c r="AV400" s="127">
        <f>+Q400-'[6]Приложение №1'!$Q359</f>
        <v>0</v>
      </c>
      <c r="AW400" s="63">
        <f t="shared" si="186"/>
        <v>1465551.9724496503</v>
      </c>
      <c r="AX400" s="64">
        <v>0</v>
      </c>
      <c r="AY400" s="64">
        <v>0</v>
      </c>
      <c r="AZ400" s="64">
        <v>1437331.93</v>
      </c>
      <c r="BA400" s="64">
        <v>0</v>
      </c>
      <c r="BB400" s="64">
        <v>0</v>
      </c>
      <c r="BC400" s="64"/>
      <c r="BD400" s="64"/>
      <c r="BE400" s="64">
        <v>0</v>
      </c>
      <c r="BF400" s="64">
        <v>0</v>
      </c>
      <c r="BG400" s="64">
        <v>0</v>
      </c>
      <c r="BH400" s="64">
        <v>0</v>
      </c>
      <c r="BI400" s="64">
        <v>0</v>
      </c>
      <c r="BJ400" s="64"/>
      <c r="BK400" s="65"/>
      <c r="BL400" s="66">
        <v>28220.042449650358</v>
      </c>
    </row>
    <row r="401" spans="1:64" x14ac:dyDescent="0.25">
      <c r="A401" s="141">
        <f t="shared" ref="A401:A464" si="214">+A400+1</f>
        <v>383</v>
      </c>
      <c r="B401" s="142">
        <f t="shared" ref="B401:B464" si="215">+B400+1</f>
        <v>195</v>
      </c>
      <c r="C401" s="62" t="s">
        <v>65</v>
      </c>
      <c r="D401" s="62" t="s">
        <v>810</v>
      </c>
      <c r="E401" s="123">
        <v>1983</v>
      </c>
      <c r="F401" s="123">
        <v>2013</v>
      </c>
      <c r="G401" s="123" t="s">
        <v>43</v>
      </c>
      <c r="H401" s="123">
        <v>5</v>
      </c>
      <c r="I401" s="123">
        <v>4</v>
      </c>
      <c r="J401" s="64">
        <v>3317.4</v>
      </c>
      <c r="K401" s="64">
        <v>2427.1</v>
      </c>
      <c r="L401" s="64">
        <v>0</v>
      </c>
      <c r="M401" s="124">
        <v>71</v>
      </c>
      <c r="N401" s="95">
        <f t="shared" si="179"/>
        <v>3991090.0004099631</v>
      </c>
      <c r="O401" s="64"/>
      <c r="P401" s="65">
        <v>392663.06000000006</v>
      </c>
      <c r="Q401" s="65"/>
      <c r="R401" s="65">
        <v>774352.37</v>
      </c>
      <c r="S401" s="65">
        <f>+'Приложение №2'!E410-'Приложение №1'!R401-P401</f>
        <v>2824074.5704099629</v>
      </c>
      <c r="T401" s="65">
        <v>0</v>
      </c>
      <c r="U401" s="64">
        <f t="shared" si="210"/>
        <v>1644.3863048123123</v>
      </c>
      <c r="V401" s="64">
        <f t="shared" si="210"/>
        <v>1644.3863048123123</v>
      </c>
      <c r="W401" s="126">
        <v>2023</v>
      </c>
      <c r="X401" s="127" t="e">
        <f>+#REF!-'[1]Приложение №1'!$P789</f>
        <v>#REF!</v>
      </c>
      <c r="Z401" s="63">
        <f t="shared" si="213"/>
        <v>3608535.1470105601</v>
      </c>
      <c r="AA401" s="64">
        <v>0</v>
      </c>
      <c r="AB401" s="64">
        <v>0</v>
      </c>
      <c r="AC401" s="64">
        <v>3142868.1204294348</v>
      </c>
      <c r="AD401" s="64">
        <v>0</v>
      </c>
      <c r="AE401" s="64">
        <v>0</v>
      </c>
      <c r="AF401" s="64"/>
      <c r="AG401" s="64">
        <v>0</v>
      </c>
      <c r="AH401" s="64">
        <v>0</v>
      </c>
      <c r="AI401" s="64">
        <v>0</v>
      </c>
      <c r="AJ401" s="64">
        <v>0</v>
      </c>
      <c r="AK401" s="64">
        <v>0</v>
      </c>
      <c r="AL401" s="64">
        <v>0</v>
      </c>
      <c r="AM401" s="64">
        <v>360853.51470105606</v>
      </c>
      <c r="AN401" s="65">
        <v>36085.351470105605</v>
      </c>
      <c r="AO401" s="66">
        <v>68728.160409963122</v>
      </c>
      <c r="AP401" s="128">
        <f>+N401-'Приложение №2'!E410</f>
        <v>0</v>
      </c>
      <c r="AQ401" s="127">
        <f>701008.17</f>
        <v>701008.17</v>
      </c>
      <c r="AR401" s="25">
        <f t="shared" si="187"/>
        <v>247564.19999999998</v>
      </c>
      <c r="AS401" s="25">
        <f>+(K401*10+L401*20)*12*30</f>
        <v>8737560</v>
      </c>
      <c r="AT401" s="127">
        <f t="shared" si="193"/>
        <v>-5913485.4295900371</v>
      </c>
      <c r="AU401" s="127">
        <f>+P401-'[6]Приложение №1'!$P360</f>
        <v>392663.06000000006</v>
      </c>
      <c r="AV401" s="127">
        <f>+Q401-'[6]Приложение №1'!$Q360</f>
        <v>0</v>
      </c>
      <c r="AW401" s="63">
        <f t="shared" si="186"/>
        <v>3991090.0004099631</v>
      </c>
      <c r="AX401" s="64">
        <v>0</v>
      </c>
      <c r="AY401" s="64">
        <v>0</v>
      </c>
      <c r="AZ401" s="64">
        <v>3374225.58</v>
      </c>
      <c r="BA401" s="64">
        <v>548136.26</v>
      </c>
      <c r="BB401" s="64">
        <v>0</v>
      </c>
      <c r="BC401" s="64"/>
      <c r="BD401" s="64"/>
      <c r="BE401" s="64">
        <v>0</v>
      </c>
      <c r="BF401" s="64">
        <v>0</v>
      </c>
      <c r="BG401" s="64">
        <v>0</v>
      </c>
      <c r="BH401" s="64">
        <v>0</v>
      </c>
      <c r="BI401" s="64">
        <v>0</v>
      </c>
      <c r="BJ401" s="64"/>
      <c r="BK401" s="65"/>
      <c r="BL401" s="66">
        <v>68728.160409963122</v>
      </c>
    </row>
    <row r="402" spans="1:64" x14ac:dyDescent="0.25">
      <c r="A402" s="141">
        <f t="shared" si="214"/>
        <v>384</v>
      </c>
      <c r="B402" s="142">
        <f t="shared" si="215"/>
        <v>196</v>
      </c>
      <c r="C402" s="62" t="s">
        <v>65</v>
      </c>
      <c r="D402" s="62" t="s">
        <v>812</v>
      </c>
      <c r="E402" s="123">
        <v>1975</v>
      </c>
      <c r="F402" s="123"/>
      <c r="G402" s="123" t="s">
        <v>43</v>
      </c>
      <c r="H402" s="123">
        <v>4</v>
      </c>
      <c r="I402" s="123">
        <v>3</v>
      </c>
      <c r="J402" s="64">
        <v>2248.5</v>
      </c>
      <c r="K402" s="64">
        <v>1870.6</v>
      </c>
      <c r="L402" s="64">
        <v>291.10000000000002</v>
      </c>
      <c r="M402" s="124">
        <v>72</v>
      </c>
      <c r="N402" s="95">
        <f t="shared" si="179"/>
        <v>640276.6</v>
      </c>
      <c r="O402" s="64"/>
      <c r="P402" s="65">
        <f>+'[8]Приложение №2'!E364-'[8]Приложение №1'!R364-'[8]Приложение №1'!S364</f>
        <v>0</v>
      </c>
      <c r="Q402" s="65"/>
      <c r="R402" s="65">
        <f>+'Приложение №2'!E411</f>
        <v>640276.6</v>
      </c>
      <c r="S402" s="65"/>
      <c r="T402" s="65"/>
      <c r="U402" s="64">
        <f t="shared" si="210"/>
        <v>296.19123837720315</v>
      </c>
      <c r="V402" s="64">
        <f t="shared" si="210"/>
        <v>296.19123837720315</v>
      </c>
      <c r="W402" s="126">
        <v>2023</v>
      </c>
      <c r="X402" s="127"/>
      <c r="Z402" s="63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  <c r="AN402" s="65"/>
      <c r="AO402" s="66"/>
      <c r="AP402" s="128">
        <f>+N402-'Приложение №2'!E411</f>
        <v>0</v>
      </c>
      <c r="AQ402" s="67">
        <v>1340374.7</v>
      </c>
      <c r="AR402" s="25">
        <f t="shared" si="187"/>
        <v>250185.60000000001</v>
      </c>
      <c r="AS402" s="25">
        <f t="shared" ref="AS402:AS405" si="216">+(K402*10+L402*20)*12*30</f>
        <v>8830080</v>
      </c>
      <c r="AT402" s="127">
        <f t="shared" si="193"/>
        <v>-8830080</v>
      </c>
      <c r="AW402" s="63">
        <f t="shared" si="186"/>
        <v>640276.6</v>
      </c>
      <c r="AX402" s="64"/>
      <c r="AY402" s="64"/>
      <c r="AZ402" s="64"/>
      <c r="BA402" s="64">
        <v>640276.6</v>
      </c>
      <c r="BB402" s="64"/>
      <c r="BC402" s="64"/>
      <c r="BD402" s="64"/>
      <c r="BE402" s="64"/>
      <c r="BF402" s="64"/>
      <c r="BG402" s="64"/>
      <c r="BH402" s="64"/>
      <c r="BI402" s="64"/>
      <c r="BJ402" s="64"/>
      <c r="BK402" s="65"/>
      <c r="BL402" s="66"/>
    </row>
    <row r="403" spans="1:64" x14ac:dyDescent="0.25">
      <c r="A403" s="141">
        <f t="shared" si="214"/>
        <v>385</v>
      </c>
      <c r="B403" s="142">
        <f t="shared" si="215"/>
        <v>197</v>
      </c>
      <c r="C403" s="62" t="s">
        <v>65</v>
      </c>
      <c r="D403" s="62" t="s">
        <v>813</v>
      </c>
      <c r="E403" s="123">
        <v>1976</v>
      </c>
      <c r="F403" s="123"/>
      <c r="G403" s="123" t="s">
        <v>43</v>
      </c>
      <c r="H403" s="123">
        <v>4</v>
      </c>
      <c r="I403" s="123">
        <v>6</v>
      </c>
      <c r="J403" s="64">
        <v>4614</v>
      </c>
      <c r="K403" s="64">
        <v>4270.7</v>
      </c>
      <c r="L403" s="64">
        <v>0</v>
      </c>
      <c r="M403" s="124">
        <v>148</v>
      </c>
      <c r="N403" s="95">
        <f t="shared" si="179"/>
        <v>1357157.63</v>
      </c>
      <c r="O403" s="64"/>
      <c r="P403" s="65">
        <f>+'[8]Приложение №2'!E365-'[8]Приложение №1'!R365-'[8]Приложение №1'!S365</f>
        <v>0</v>
      </c>
      <c r="Q403" s="65"/>
      <c r="R403" s="65">
        <f>+'Приложение №2'!E412</f>
        <v>1357157.63</v>
      </c>
      <c r="S403" s="65"/>
      <c r="T403" s="65"/>
      <c r="U403" s="64">
        <f t="shared" ref="U403:V426" si="217">$N403/($K403+$L403)</f>
        <v>317.78341489685528</v>
      </c>
      <c r="V403" s="64">
        <f t="shared" si="217"/>
        <v>317.78341489685528</v>
      </c>
      <c r="W403" s="126">
        <v>2023</v>
      </c>
      <c r="X403" s="127"/>
      <c r="Z403" s="63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5"/>
      <c r="AO403" s="66"/>
      <c r="AP403" s="128">
        <f>+N403-'Приложение №2'!E412</f>
        <v>0</v>
      </c>
      <c r="AQ403" s="67">
        <v>2376571.59</v>
      </c>
      <c r="AR403" s="25">
        <f t="shared" si="187"/>
        <v>435611.39999999997</v>
      </c>
      <c r="AS403" s="25">
        <f t="shared" si="216"/>
        <v>15374520</v>
      </c>
      <c r="AT403" s="127">
        <f t="shared" si="193"/>
        <v>-15374520</v>
      </c>
      <c r="AU403" s="127"/>
      <c r="AW403" s="63">
        <f t="shared" si="186"/>
        <v>1357157.63</v>
      </c>
      <c r="AX403" s="64"/>
      <c r="AY403" s="64"/>
      <c r="AZ403" s="64"/>
      <c r="BA403" s="64">
        <v>1357157.63</v>
      </c>
      <c r="BB403" s="64"/>
      <c r="BC403" s="64"/>
      <c r="BD403" s="64"/>
      <c r="BE403" s="64"/>
      <c r="BF403" s="64"/>
      <c r="BG403" s="64"/>
      <c r="BH403" s="64"/>
      <c r="BI403" s="64"/>
      <c r="BJ403" s="64"/>
      <c r="BK403" s="65"/>
      <c r="BL403" s="66"/>
    </row>
    <row r="404" spans="1:64" x14ac:dyDescent="0.25">
      <c r="A404" s="141">
        <f t="shared" si="214"/>
        <v>386</v>
      </c>
      <c r="B404" s="142">
        <f t="shared" si="215"/>
        <v>198</v>
      </c>
      <c r="C404" s="62" t="s">
        <v>65</v>
      </c>
      <c r="D404" s="62" t="s">
        <v>814</v>
      </c>
      <c r="E404" s="123">
        <v>1981</v>
      </c>
      <c r="F404" s="123"/>
      <c r="G404" s="123" t="s">
        <v>43</v>
      </c>
      <c r="H404" s="123">
        <v>5</v>
      </c>
      <c r="I404" s="123">
        <v>4</v>
      </c>
      <c r="J404" s="64">
        <v>3315.7</v>
      </c>
      <c r="K404" s="64">
        <v>2406</v>
      </c>
      <c r="L404" s="64">
        <v>444.3</v>
      </c>
      <c r="M404" s="124">
        <v>83</v>
      </c>
      <c r="N404" s="95">
        <f t="shared" si="179"/>
        <v>530132.51</v>
      </c>
      <c r="O404" s="64"/>
      <c r="P404" s="65">
        <f>+'[8]Приложение №2'!E366-'[8]Приложение №1'!R366-'[8]Приложение №1'!S366</f>
        <v>0</v>
      </c>
      <c r="Q404" s="65"/>
      <c r="R404" s="65">
        <f>+'Приложение №2'!E413</f>
        <v>530132.51</v>
      </c>
      <c r="S404" s="65"/>
      <c r="T404" s="65"/>
      <c r="U404" s="64">
        <f t="shared" si="217"/>
        <v>185.99182893028802</v>
      </c>
      <c r="V404" s="64">
        <f t="shared" si="217"/>
        <v>185.99182893028802</v>
      </c>
      <c r="W404" s="126">
        <v>2023</v>
      </c>
      <c r="X404" s="127"/>
      <c r="Z404" s="63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5"/>
      <c r="AO404" s="66"/>
      <c r="AP404" s="128">
        <f>+N404-'Приложение №2'!E413</f>
        <v>0</v>
      </c>
      <c r="AQ404" s="67">
        <v>1793143.38</v>
      </c>
      <c r="AR404" s="25">
        <f t="shared" si="187"/>
        <v>336049.2</v>
      </c>
      <c r="AS404" s="25">
        <f t="shared" si="216"/>
        <v>11860560</v>
      </c>
      <c r="AT404" s="127">
        <f t="shared" si="193"/>
        <v>-11860560</v>
      </c>
      <c r="AU404" s="127"/>
      <c r="AW404" s="63">
        <f t="shared" si="186"/>
        <v>530132.51</v>
      </c>
      <c r="AX404" s="64"/>
      <c r="AY404" s="64"/>
      <c r="AZ404" s="64"/>
      <c r="BA404" s="64">
        <v>530132.51</v>
      </c>
      <c r="BB404" s="64"/>
      <c r="BC404" s="64"/>
      <c r="BD404" s="64"/>
      <c r="BE404" s="64"/>
      <c r="BF404" s="64"/>
      <c r="BG404" s="64"/>
      <c r="BH404" s="64"/>
      <c r="BI404" s="64"/>
      <c r="BJ404" s="64"/>
      <c r="BK404" s="65"/>
      <c r="BL404" s="66"/>
    </row>
    <row r="405" spans="1:64" x14ac:dyDescent="0.25">
      <c r="A405" s="141">
        <f t="shared" si="214"/>
        <v>387</v>
      </c>
      <c r="B405" s="142">
        <f t="shared" si="215"/>
        <v>199</v>
      </c>
      <c r="C405" s="62" t="s">
        <v>56</v>
      </c>
      <c r="D405" s="62" t="s">
        <v>795</v>
      </c>
      <c r="E405" s="123">
        <v>1976</v>
      </c>
      <c r="F405" s="123">
        <v>1976</v>
      </c>
      <c r="G405" s="123" t="s">
        <v>43</v>
      </c>
      <c r="H405" s="123">
        <v>3</v>
      </c>
      <c r="I405" s="123">
        <v>4</v>
      </c>
      <c r="J405" s="64">
        <v>2192.3000000000002</v>
      </c>
      <c r="K405" s="64">
        <v>2028.1</v>
      </c>
      <c r="L405" s="64">
        <v>0</v>
      </c>
      <c r="M405" s="124">
        <v>85</v>
      </c>
      <c r="N405" s="95">
        <f t="shared" si="179"/>
        <v>3025771.3497837</v>
      </c>
      <c r="O405" s="64"/>
      <c r="P405" s="65"/>
      <c r="Q405" s="65"/>
      <c r="R405" s="65">
        <f>+AQ405+AR405</f>
        <v>1127247.27</v>
      </c>
      <c r="S405" s="65">
        <f>+'Приложение №2'!E414-'Приложение №1'!P405-'Приложение №1'!Q405-'Приложение №1'!R405</f>
        <v>1898524.0797836999</v>
      </c>
      <c r="T405" s="65"/>
      <c r="U405" s="64">
        <f t="shared" si="217"/>
        <v>1491.924140714807</v>
      </c>
      <c r="V405" s="64">
        <f t="shared" si="217"/>
        <v>1491.924140714807</v>
      </c>
      <c r="W405" s="126">
        <v>2023</v>
      </c>
      <c r="X405" s="127" t="e">
        <f>+#REF!-'[1]Приложение №1'!$P688</f>
        <v>#REF!</v>
      </c>
      <c r="Z405" s="63">
        <f>SUM(AA405:AO405)</f>
        <v>31013862.251715004</v>
      </c>
      <c r="AA405" s="64">
        <v>0</v>
      </c>
      <c r="AB405" s="64">
        <v>0</v>
      </c>
      <c r="AC405" s="64">
        <v>0</v>
      </c>
      <c r="AD405" s="64">
        <v>0</v>
      </c>
      <c r="AE405" s="64">
        <v>0</v>
      </c>
      <c r="AF405" s="64"/>
      <c r="AG405" s="64">
        <v>0</v>
      </c>
      <c r="AH405" s="64">
        <v>0</v>
      </c>
      <c r="AI405" s="64"/>
      <c r="AJ405" s="64">
        <v>0</v>
      </c>
      <c r="AK405" s="64">
        <v>0</v>
      </c>
      <c r="AL405" s="64">
        <v>23285097.547431301</v>
      </c>
      <c r="AM405" s="64">
        <v>5902452.2175000003</v>
      </c>
      <c r="AN405" s="65">
        <v>626122.28700000001</v>
      </c>
      <c r="AO405" s="66">
        <v>1200190.1997837001</v>
      </c>
      <c r="AP405" s="128">
        <f>+N405-'Приложение №2'!E414</f>
        <v>0</v>
      </c>
      <c r="AQ405" s="23">
        <v>920381.07</v>
      </c>
      <c r="AR405" s="25">
        <f t="shared" si="187"/>
        <v>206866.19999999998</v>
      </c>
      <c r="AS405" s="25">
        <f t="shared" si="216"/>
        <v>7301160</v>
      </c>
      <c r="AT405" s="127">
        <f t="shared" si="193"/>
        <v>-5402635.9202162996</v>
      </c>
      <c r="AU405" s="127">
        <f>+P405-'[6]Приложение №1'!$P363</f>
        <v>0</v>
      </c>
      <c r="AV405" s="127">
        <f>+Q405-'[6]Приложение №1'!$Q363</f>
        <v>0</v>
      </c>
      <c r="AW405" s="63">
        <f t="shared" si="186"/>
        <v>3025771.3497837</v>
      </c>
      <c r="AX405" s="64">
        <v>0</v>
      </c>
      <c r="AY405" s="64">
        <v>0</v>
      </c>
      <c r="AZ405" s="64">
        <v>0</v>
      </c>
      <c r="BA405" s="64">
        <v>0</v>
      </c>
      <c r="BB405" s="64">
        <v>0</v>
      </c>
      <c r="BC405" s="64"/>
      <c r="BD405" s="64"/>
      <c r="BE405" s="64">
        <v>0</v>
      </c>
      <c r="BF405" s="64"/>
      <c r="BG405" s="64">
        <v>0</v>
      </c>
      <c r="BH405" s="64">
        <v>0</v>
      </c>
      <c r="BI405" s="64">
        <v>1825581.15</v>
      </c>
      <c r="BJ405" s="64"/>
      <c r="BK405" s="65"/>
      <c r="BL405" s="66">
        <v>1200190.1997837001</v>
      </c>
    </row>
    <row r="406" spans="1:64" x14ac:dyDescent="0.25">
      <c r="A406" s="141">
        <f t="shared" si="214"/>
        <v>388</v>
      </c>
      <c r="B406" s="142">
        <f t="shared" si="215"/>
        <v>200</v>
      </c>
      <c r="C406" s="62" t="s">
        <v>56</v>
      </c>
      <c r="D406" s="62" t="s">
        <v>794</v>
      </c>
      <c r="E406" s="123">
        <v>1977</v>
      </c>
      <c r="F406" s="123">
        <v>1977</v>
      </c>
      <c r="G406" s="123" t="s">
        <v>43</v>
      </c>
      <c r="H406" s="123">
        <v>5</v>
      </c>
      <c r="I406" s="123">
        <v>1</v>
      </c>
      <c r="J406" s="64">
        <v>1730.3</v>
      </c>
      <c r="K406" s="64">
        <v>1456.4</v>
      </c>
      <c r="L406" s="64">
        <v>0</v>
      </c>
      <c r="M406" s="124">
        <v>49</v>
      </c>
      <c r="N406" s="95">
        <f t="shared" si="179"/>
        <v>17852945.477531999</v>
      </c>
      <c r="O406" s="64"/>
      <c r="P406" s="65">
        <v>3092165.33</v>
      </c>
      <c r="Q406" s="65"/>
      <c r="R406" s="65">
        <v>1315.8</v>
      </c>
      <c r="S406" s="65">
        <f>+AS406</f>
        <v>3789794.2800000003</v>
      </c>
      <c r="T406" s="65">
        <f>+'Приложение №2'!E415-'Приложение №1'!P406-'Приложение №1'!Q406-'Приложение №1'!R406-'Приложение №1'!S406</f>
        <v>10969670.067531999</v>
      </c>
      <c r="U406" s="64">
        <f t="shared" si="217"/>
        <v>12258.27072063444</v>
      </c>
      <c r="V406" s="64">
        <f t="shared" si="217"/>
        <v>12258.27072063444</v>
      </c>
      <c r="W406" s="126">
        <v>2023</v>
      </c>
      <c r="X406" s="127" t="e">
        <f>+#REF!-'[1]Приложение №1'!$P1012</f>
        <v>#REF!</v>
      </c>
      <c r="Z406" s="63">
        <f>SUM(AA406:AO406)</f>
        <v>38072067.120000005</v>
      </c>
      <c r="AA406" s="64">
        <v>4710479.1050062198</v>
      </c>
      <c r="AB406" s="64">
        <v>2176226.3089270201</v>
      </c>
      <c r="AC406" s="64">
        <v>2204614.3839224395</v>
      </c>
      <c r="AD406" s="64">
        <v>1424137.1203432798</v>
      </c>
      <c r="AE406" s="64">
        <v>0</v>
      </c>
      <c r="AF406" s="64"/>
      <c r="AG406" s="64">
        <v>146063.50321331999</v>
      </c>
      <c r="AH406" s="64">
        <v>0</v>
      </c>
      <c r="AI406" s="64">
        <v>11068738.746596999</v>
      </c>
      <c r="AJ406" s="64">
        <v>0</v>
      </c>
      <c r="AK406" s="64">
        <v>5717896.3951359605</v>
      </c>
      <c r="AL406" s="64">
        <v>5901111.3759779995</v>
      </c>
      <c r="AM406" s="64">
        <v>3612798.5854000002</v>
      </c>
      <c r="AN406" s="65">
        <v>380720.67119999998</v>
      </c>
      <c r="AO406" s="66">
        <v>729280.92427675996</v>
      </c>
      <c r="AP406" s="128">
        <f>+N406-'Приложение №2'!E415</f>
        <v>0</v>
      </c>
      <c r="AQ406" s="127">
        <f>590020.37-R145</f>
        <v>-147237</v>
      </c>
      <c r="AR406" s="25">
        <f t="shared" si="187"/>
        <v>148552.79999999999</v>
      </c>
      <c r="AS406" s="25">
        <f>+(K406*10+L406*20)*12*30-S145</f>
        <v>3789794.2800000003</v>
      </c>
      <c r="AT406" s="127">
        <f t="shared" si="193"/>
        <v>0</v>
      </c>
      <c r="AU406" s="127">
        <f>+P406-'[6]Приложение №1'!$P365</f>
        <v>-23883.267531999387</v>
      </c>
      <c r="AV406" s="127">
        <f>+Q406-'[6]Приложение №1'!$Q365</f>
        <v>0</v>
      </c>
      <c r="AW406" s="63">
        <f t="shared" si="186"/>
        <v>17852945.477531999</v>
      </c>
      <c r="AX406" s="64">
        <v>5026597.2300000004</v>
      </c>
      <c r="AY406" s="64">
        <v>2161426.54</v>
      </c>
      <c r="AZ406" s="64">
        <v>2221327.14</v>
      </c>
      <c r="BA406" s="64">
        <v>1568575.74</v>
      </c>
      <c r="BB406" s="64"/>
      <c r="BC406" s="64"/>
      <c r="BD406" s="64"/>
      <c r="BE406" s="64"/>
      <c r="BF406" s="64"/>
      <c r="BG406" s="64">
        <v>0</v>
      </c>
      <c r="BH406" s="64"/>
      <c r="BI406" s="64">
        <v>6200769.6399999997</v>
      </c>
      <c r="BJ406" s="64"/>
      <c r="BK406" s="65"/>
      <c r="BL406" s="66">
        <v>674249.18753199989</v>
      </c>
    </row>
    <row r="407" spans="1:64" x14ac:dyDescent="0.25">
      <c r="A407" s="141">
        <f t="shared" si="214"/>
        <v>389</v>
      </c>
      <c r="B407" s="142">
        <f t="shared" si="215"/>
        <v>201</v>
      </c>
      <c r="C407" s="62" t="s">
        <v>66</v>
      </c>
      <c r="D407" s="62" t="s">
        <v>796</v>
      </c>
      <c r="E407" s="123">
        <v>1984</v>
      </c>
      <c r="F407" s="123">
        <v>1984</v>
      </c>
      <c r="G407" s="123" t="s">
        <v>43</v>
      </c>
      <c r="H407" s="123">
        <v>5</v>
      </c>
      <c r="I407" s="123">
        <v>4</v>
      </c>
      <c r="J407" s="64">
        <v>3359.4</v>
      </c>
      <c r="K407" s="64">
        <v>2391.8000000000002</v>
      </c>
      <c r="L407" s="64">
        <v>553.20000000000005</v>
      </c>
      <c r="M407" s="124">
        <v>62</v>
      </c>
      <c r="N407" s="95">
        <f t="shared" si="179"/>
        <v>27822893.387377337</v>
      </c>
      <c r="O407" s="64"/>
      <c r="P407" s="65">
        <v>16894819.510000002</v>
      </c>
      <c r="Q407" s="65"/>
      <c r="R407" s="65">
        <f>+AQ407+AR407</f>
        <v>974902.84999999986</v>
      </c>
      <c r="S407" s="65">
        <f>+AS407</f>
        <v>3807576.75</v>
      </c>
      <c r="T407" s="65">
        <f>+'Приложение №2'!E416-'Приложение №1'!P407-'Приложение №1'!Q407-'Приложение №1'!R407-'Приложение №1'!S407</f>
        <v>6145594.2773773316</v>
      </c>
      <c r="U407" s="64">
        <f t="shared" si="217"/>
        <v>9447.5019991094523</v>
      </c>
      <c r="V407" s="64">
        <f t="shared" si="217"/>
        <v>9447.5019991094523</v>
      </c>
      <c r="W407" s="126">
        <v>2023</v>
      </c>
      <c r="X407" s="127" t="e">
        <f>+#REF!-'[1]Приложение №1'!$P1765</f>
        <v>#REF!</v>
      </c>
      <c r="Z407" s="63">
        <f>SUM(AA407:AO407)</f>
        <v>24399375.708956141</v>
      </c>
      <c r="AA407" s="64">
        <v>0</v>
      </c>
      <c r="AB407" s="64">
        <v>0</v>
      </c>
      <c r="AC407" s="64">
        <v>0</v>
      </c>
      <c r="AD407" s="64">
        <v>0</v>
      </c>
      <c r="AE407" s="64">
        <v>0</v>
      </c>
      <c r="AF407" s="64"/>
      <c r="AG407" s="64">
        <v>0</v>
      </c>
      <c r="AH407" s="64">
        <v>0</v>
      </c>
      <c r="AI407" s="64">
        <v>0</v>
      </c>
      <c r="AJ407" s="64">
        <v>0</v>
      </c>
      <c r="AK407" s="64">
        <v>10229706.1</v>
      </c>
      <c r="AL407" s="64">
        <v>13577874.103206001</v>
      </c>
      <c r="AM407" s="64">
        <v>258631.32</v>
      </c>
      <c r="AN407" s="64">
        <v>39488.83</v>
      </c>
      <c r="AO407" s="66">
        <v>293675.35575013998</v>
      </c>
      <c r="AP407" s="128">
        <f>+N407-'Приложение №2'!E416</f>
        <v>0</v>
      </c>
      <c r="AQ407" s="127">
        <f>1110865.63-R146</f>
        <v>618086.44999999995</v>
      </c>
      <c r="AR407" s="25">
        <f t="shared" si="187"/>
        <v>356816.39999999997</v>
      </c>
      <c r="AS407" s="25">
        <f>+(K407*10+L407*20)*12*30-3112059.45-S146</f>
        <v>3807576.75</v>
      </c>
      <c r="AT407" s="127">
        <f t="shared" si="193"/>
        <v>0</v>
      </c>
      <c r="AU407" s="127">
        <f>+P407-'[6]Приложение №1'!$P366</f>
        <v>8638367.2190780006</v>
      </c>
      <c r="AV407" s="127">
        <f>+Q407-'[6]Приложение №1'!$Q366</f>
        <v>0</v>
      </c>
      <c r="AW407" s="63">
        <f t="shared" si="186"/>
        <v>27822893.387377333</v>
      </c>
      <c r="AX407" s="64"/>
      <c r="AY407" s="64"/>
      <c r="AZ407" s="64">
        <v>3949042.3</v>
      </c>
      <c r="BA407" s="64"/>
      <c r="BB407" s="64">
        <v>0</v>
      </c>
      <c r="BC407" s="64"/>
      <c r="BD407" s="64"/>
      <c r="BE407" s="64">
        <v>0</v>
      </c>
      <c r="BF407" s="64"/>
      <c r="BG407" s="64">
        <v>0</v>
      </c>
      <c r="BH407" s="64">
        <v>10229706.1</v>
      </c>
      <c r="BI407" s="64">
        <v>12638125.92</v>
      </c>
      <c r="BJ407" s="64"/>
      <c r="BK407" s="64"/>
      <c r="BL407" s="66">
        <v>1006019.0673773335</v>
      </c>
    </row>
    <row r="408" spans="1:64" x14ac:dyDescent="0.25">
      <c r="A408" s="141">
        <f t="shared" si="214"/>
        <v>390</v>
      </c>
      <c r="B408" s="142">
        <f t="shared" si="215"/>
        <v>202</v>
      </c>
      <c r="C408" s="62" t="s">
        <v>45</v>
      </c>
      <c r="D408" s="62" t="s">
        <v>820</v>
      </c>
      <c r="E408" s="123">
        <v>1972</v>
      </c>
      <c r="F408" s="123">
        <v>2013</v>
      </c>
      <c r="G408" s="123" t="s">
        <v>43</v>
      </c>
      <c r="H408" s="123">
        <v>4</v>
      </c>
      <c r="I408" s="123">
        <v>3</v>
      </c>
      <c r="J408" s="64">
        <v>1348.9</v>
      </c>
      <c r="K408" s="64">
        <v>1047.4000000000001</v>
      </c>
      <c r="L408" s="64">
        <v>182.5</v>
      </c>
      <c r="M408" s="124">
        <v>50</v>
      </c>
      <c r="N408" s="63">
        <f t="shared" ref="N408" si="218">SUM(O408:T408)</f>
        <v>3392868.3559438689</v>
      </c>
      <c r="O408" s="64"/>
      <c r="P408" s="65"/>
      <c r="Q408" s="65"/>
      <c r="R408" s="65">
        <f t="shared" ref="R408" si="219">+AQ408+AR408</f>
        <v>806751.35000000009</v>
      </c>
      <c r="S408" s="65">
        <f>+'Приложение №2'!E417-'Приложение №1'!R408</f>
        <v>2586117.0059438688</v>
      </c>
      <c r="T408" s="65">
        <v>0</v>
      </c>
      <c r="U408" s="65">
        <f t="shared" ref="U408" si="220">N408/K408</f>
        <v>3239.3243803168498</v>
      </c>
      <c r="V408" s="65">
        <v>1362.2830200640001</v>
      </c>
      <c r="W408" s="126">
        <v>2023</v>
      </c>
      <c r="X408" s="127" t="e">
        <f>+#REF!-'[1]Приложение №1'!$P932</f>
        <v>#REF!</v>
      </c>
      <c r="Z408" s="63">
        <f t="shared" ref="Z408" si="221">SUM(AA408:AO408)</f>
        <v>6001891.9499999993</v>
      </c>
      <c r="AA408" s="64">
        <v>0</v>
      </c>
      <c r="AB408" s="64">
        <v>0</v>
      </c>
      <c r="AC408" s="64">
        <v>1189999.01255088</v>
      </c>
      <c r="AD408" s="64">
        <v>0</v>
      </c>
      <c r="AE408" s="64">
        <v>0</v>
      </c>
      <c r="AF408" s="64"/>
      <c r="AG408" s="64">
        <v>0</v>
      </c>
      <c r="AH408" s="64">
        <v>0</v>
      </c>
      <c r="AI408" s="64">
        <v>0</v>
      </c>
      <c r="AJ408" s="64">
        <v>764864.79162029992</v>
      </c>
      <c r="AK408" s="64">
        <v>0</v>
      </c>
      <c r="AL408" s="64">
        <v>3272507.9972491194</v>
      </c>
      <c r="AM408" s="64">
        <v>600189.19499999995</v>
      </c>
      <c r="AN408" s="65">
        <v>60018.919499999996</v>
      </c>
      <c r="AO408" s="66">
        <v>114312.03407969998</v>
      </c>
      <c r="AP408" s="128">
        <f>+N408-'Приложение №2'!E417</f>
        <v>0</v>
      </c>
      <c r="AQ408" s="38">
        <v>655483.31000000006</v>
      </c>
      <c r="AR408" s="25">
        <f t="shared" ref="AR408" si="222">+(K408*10.5+L408*21)*12*0.85</f>
        <v>151268.04</v>
      </c>
      <c r="AS408" s="25">
        <f>+(K408*10.5+L408*21)*12*30</f>
        <v>5338872.0000000009</v>
      </c>
      <c r="AT408" s="127">
        <f t="shared" si="193"/>
        <v>-2752754.9940561322</v>
      </c>
      <c r="AU408" s="127">
        <f>+P408-'[6]Приложение №1'!$P407</f>
        <v>-4675363.0278000021</v>
      </c>
      <c r="AV408" s="127">
        <f>+Q408-'[6]Приложение №1'!$Q407</f>
        <v>0</v>
      </c>
      <c r="AW408" s="88">
        <f t="shared" si="186"/>
        <v>3392868.3559438689</v>
      </c>
      <c r="AX408" s="64">
        <v>0</v>
      </c>
      <c r="AY408" s="64">
        <v>0</v>
      </c>
      <c r="AZ408" s="64"/>
      <c r="BA408" s="64">
        <v>0</v>
      </c>
      <c r="BB408" s="64">
        <v>0</v>
      </c>
      <c r="BC408" s="64"/>
      <c r="BD408" s="64"/>
      <c r="BE408" s="64">
        <v>0</v>
      </c>
      <c r="BF408" s="64">
        <v>0</v>
      </c>
      <c r="BG408" s="64"/>
      <c r="BH408" s="64">
        <v>0</v>
      </c>
      <c r="BI408" s="64">
        <v>3272507.9972491194</v>
      </c>
      <c r="BJ408" s="64"/>
      <c r="BK408" s="65"/>
      <c r="BL408" s="66">
        <v>120360.35869474964</v>
      </c>
    </row>
    <row r="409" spans="1:64" x14ac:dyDescent="0.25">
      <c r="A409" s="141">
        <f t="shared" si="214"/>
        <v>391</v>
      </c>
      <c r="B409" s="142">
        <f t="shared" si="215"/>
        <v>203</v>
      </c>
      <c r="C409" s="62" t="s">
        <v>45</v>
      </c>
      <c r="D409" s="62" t="s">
        <v>829</v>
      </c>
      <c r="E409" s="123">
        <v>1977</v>
      </c>
      <c r="F409" s="123">
        <v>1977</v>
      </c>
      <c r="G409" s="123" t="s">
        <v>43</v>
      </c>
      <c r="H409" s="123">
        <v>4</v>
      </c>
      <c r="I409" s="123">
        <v>1</v>
      </c>
      <c r="J409" s="64">
        <v>1434.1</v>
      </c>
      <c r="K409" s="64">
        <v>1287.5999999999999</v>
      </c>
      <c r="L409" s="64">
        <v>100.6</v>
      </c>
      <c r="M409" s="124">
        <v>46</v>
      </c>
      <c r="N409" s="63">
        <f>SUM(O409:T409)</f>
        <v>18481458.828001961</v>
      </c>
      <c r="O409" s="64"/>
      <c r="P409" s="65"/>
      <c r="Q409" s="65"/>
      <c r="R409" s="65">
        <f>+AQ409+AR409</f>
        <v>755102.63</v>
      </c>
      <c r="S409" s="65">
        <f>+AS409</f>
        <v>5627664</v>
      </c>
      <c r="T409" s="65">
        <f>+'Приложение №2'!E418-'Приложение №1'!P409-'Приложение №1'!R409-'Приложение №1'!S409</f>
        <v>12098692.198001962</v>
      </c>
      <c r="U409" s="65">
        <f>N409/K409</f>
        <v>14353.416300094721</v>
      </c>
      <c r="V409" s="65">
        <v>1374.2830200640001</v>
      </c>
      <c r="W409" s="126">
        <v>2023</v>
      </c>
      <c r="X409" s="127" t="e">
        <f>+#REF!-'[1]Приложение №1'!$P1552</f>
        <v>#REF!</v>
      </c>
      <c r="Z409" s="63">
        <f>SUM(AA409:AO409)</f>
        <v>23517143.800000001</v>
      </c>
      <c r="AA409" s="64">
        <v>3661472.2518719994</v>
      </c>
      <c r="AB409" s="64">
        <v>1317876.0443460001</v>
      </c>
      <c r="AC409" s="64">
        <v>1401977.6916540002</v>
      </c>
      <c r="AD409" s="64">
        <v>886159.65735600004</v>
      </c>
      <c r="AE409" s="64">
        <v>0</v>
      </c>
      <c r="AF409" s="64"/>
      <c r="AG409" s="64">
        <v>124380.97009799999</v>
      </c>
      <c r="AH409" s="64">
        <v>0</v>
      </c>
      <c r="AI409" s="64">
        <v>6856026.5788080012</v>
      </c>
      <c r="AJ409" s="64">
        <v>848379.40495800006</v>
      </c>
      <c r="AK409" s="64">
        <v>3566453.5386839998</v>
      </c>
      <c r="AL409" s="64">
        <v>3838143.5148840002</v>
      </c>
      <c r="AM409" s="64">
        <v>460066.39</v>
      </c>
      <c r="AN409" s="64">
        <v>64159.31</v>
      </c>
      <c r="AO409" s="66">
        <v>492048.44734000007</v>
      </c>
      <c r="AP409" s="128">
        <f>+N409-'Приложение №2'!E418</f>
        <v>0</v>
      </c>
      <c r="AQ409" s="38">
        <v>595652.15</v>
      </c>
      <c r="AR409" s="25">
        <f>+(K409*10.5+L409*21)*12*0.85</f>
        <v>159450.47999999998</v>
      </c>
      <c r="AS409" s="25">
        <f>+(K409*10.5+L409*21)*12*30</f>
        <v>5627664</v>
      </c>
      <c r="AT409" s="127">
        <f>+S409-AS409</f>
        <v>0</v>
      </c>
      <c r="AU409" s="127">
        <f>+P409-'[6]Приложение №1'!$P654</f>
        <v>-3371309.4466504906</v>
      </c>
      <c r="AV409" s="127">
        <f>+Q409-'[6]Приложение №1'!$Q654</f>
        <v>0</v>
      </c>
      <c r="AW409" s="88">
        <f>SUBTOTAL(9,AX409:BL409)</f>
        <v>18481458.828001961</v>
      </c>
      <c r="AX409" s="64">
        <v>3661472.2518719994</v>
      </c>
      <c r="AY409" s="64">
        <v>1317876.0443460001</v>
      </c>
      <c r="AZ409" s="64">
        <v>1401977.6916540002</v>
      </c>
      <c r="BA409" s="64">
        <v>886159.65735600004</v>
      </c>
      <c r="BB409" s="64">
        <v>0</v>
      </c>
      <c r="BC409" s="64"/>
      <c r="BD409" s="64">
        <v>124380.97009799999</v>
      </c>
      <c r="BE409" s="64">
        <v>0</v>
      </c>
      <c r="BF409" s="64">
        <v>6856026.5788080012</v>
      </c>
      <c r="BG409" s="64"/>
      <c r="BH409" s="64"/>
      <c r="BI409" s="64">
        <v>3838143.5148840002</v>
      </c>
      <c r="BJ409" s="64"/>
      <c r="BK409" s="64"/>
      <c r="BL409" s="66">
        <v>395422.11898395995</v>
      </c>
    </row>
    <row r="410" spans="1:64" s="74" customFormat="1" x14ac:dyDescent="0.25">
      <c r="A410" s="141">
        <f t="shared" si="214"/>
        <v>392</v>
      </c>
      <c r="B410" s="142">
        <f t="shared" si="215"/>
        <v>204</v>
      </c>
      <c r="C410" s="62" t="s">
        <v>45</v>
      </c>
      <c r="D410" s="62" t="s">
        <v>151</v>
      </c>
      <c r="E410" s="123" t="s">
        <v>112</v>
      </c>
      <c r="F410" s="123"/>
      <c r="G410" s="123" t="s">
        <v>43</v>
      </c>
      <c r="H410" s="123" t="s">
        <v>108</v>
      </c>
      <c r="I410" s="123" t="s">
        <v>105</v>
      </c>
      <c r="J410" s="64">
        <v>6010.4</v>
      </c>
      <c r="K410" s="64">
        <v>4246.1000000000004</v>
      </c>
      <c r="L410" s="64">
        <v>999.9</v>
      </c>
      <c r="M410" s="124">
        <v>135</v>
      </c>
      <c r="N410" s="95">
        <f t="shared" si="179"/>
        <v>58317189.102533475</v>
      </c>
      <c r="O410" s="64">
        <v>0</v>
      </c>
      <c r="P410" s="65">
        <v>0</v>
      </c>
      <c r="Q410" s="64">
        <v>1821800</v>
      </c>
      <c r="R410" s="65">
        <f t="shared" ref="R410:R424" si="223">+AQ410+AR410</f>
        <v>4098343.92</v>
      </c>
      <c r="S410" s="65">
        <v>19373180.550000001</v>
      </c>
      <c r="T410" s="65">
        <f>+'Приложение №2'!E419-'Приложение №1'!P410-'Приложение №1'!Q410-'Приложение №1'!R410-'Приложение №1'!S410</f>
        <v>33023864.632533479</v>
      </c>
      <c r="U410" s="64">
        <f t="shared" si="217"/>
        <v>11116.505738187852</v>
      </c>
      <c r="V410" s="64">
        <f t="shared" si="217"/>
        <v>11116.505738187852</v>
      </c>
      <c r="W410" s="126">
        <v>2023</v>
      </c>
      <c r="X410" s="74">
        <v>2132659.2599999998</v>
      </c>
      <c r="Y410" s="74">
        <f>+(K410*9.1+L410*18.19)*12</f>
        <v>681932.29200000013</v>
      </c>
      <c r="AA410" s="129">
        <f>+N410-'[9]Приложение № 2'!E359</f>
        <v>41535406.532533474</v>
      </c>
      <c r="AD410" s="129">
        <f>+N410-'[9]Приложение № 2'!E359</f>
        <v>41535406.532533474</v>
      </c>
      <c r="AP410" s="128">
        <f>+N410-'Приложение №2'!E419</f>
        <v>0</v>
      </c>
      <c r="AQ410" s="67">
        <v>3461262.12</v>
      </c>
      <c r="AR410" s="25">
        <f t="shared" si="187"/>
        <v>637081.79999999993</v>
      </c>
      <c r="AS410" s="25">
        <f>+(K410*10+L410*20)*12*30</f>
        <v>22485240</v>
      </c>
      <c r="AT410" s="127">
        <f t="shared" si="193"/>
        <v>-3112059.4499999993</v>
      </c>
      <c r="AU410" s="127"/>
      <c r="AV410" s="127"/>
      <c r="AW410" s="63">
        <f t="shared" si="186"/>
        <v>58126032.092533484</v>
      </c>
      <c r="AX410" s="64">
        <v>11786769.199999999</v>
      </c>
      <c r="AY410" s="64">
        <v>5983962.0899999999</v>
      </c>
      <c r="AZ410" s="64">
        <v>4295794.0999999996</v>
      </c>
      <c r="BA410" s="64"/>
      <c r="BB410" s="64"/>
      <c r="BC410" s="64"/>
      <c r="BD410" s="64"/>
      <c r="BE410" s="64"/>
      <c r="BF410" s="64">
        <v>30868652.559999999</v>
      </c>
      <c r="BG410" s="64"/>
      <c r="BH410" s="64"/>
      <c r="BI410" s="64">
        <v>2170343.35</v>
      </c>
      <c r="BJ410" s="64">
        <v>1495997.29</v>
      </c>
      <c r="BK410" s="64">
        <v>43785.235980799996</v>
      </c>
      <c r="BL410" s="66">
        <v>1480728.2665526769</v>
      </c>
    </row>
    <row r="411" spans="1:64" x14ac:dyDescent="0.25">
      <c r="A411" s="141">
        <f t="shared" si="214"/>
        <v>393</v>
      </c>
      <c r="B411" s="142">
        <f t="shared" si="215"/>
        <v>205</v>
      </c>
      <c r="C411" s="62" t="s">
        <v>45</v>
      </c>
      <c r="D411" s="62" t="s">
        <v>822</v>
      </c>
      <c r="E411" s="123">
        <v>1970</v>
      </c>
      <c r="F411" s="123">
        <v>1970</v>
      </c>
      <c r="G411" s="123" t="s">
        <v>43</v>
      </c>
      <c r="H411" s="123">
        <v>4</v>
      </c>
      <c r="I411" s="123">
        <v>1</v>
      </c>
      <c r="J411" s="64">
        <v>1343.6</v>
      </c>
      <c r="K411" s="64">
        <v>929.1</v>
      </c>
      <c r="L411" s="64">
        <v>317.89999999999998</v>
      </c>
      <c r="M411" s="124">
        <v>43</v>
      </c>
      <c r="N411" s="63">
        <f t="shared" ref="N411" si="224">SUM(O411:T411)</f>
        <v>16314796.345780578</v>
      </c>
      <c r="O411" s="64"/>
      <c r="P411" s="65"/>
      <c r="Q411" s="65"/>
      <c r="R411" s="65">
        <f t="shared" si="223"/>
        <v>973196.25</v>
      </c>
      <c r="S411" s="65">
        <f t="shared" ref="S411" si="225">+AS411</f>
        <v>5915322.0000000009</v>
      </c>
      <c r="T411" s="65">
        <f>+'Приложение №2'!E420-'Приложение №1'!P411-'Приложение №1'!R411-'Приложение №1'!S411</f>
        <v>9426278.0957805775</v>
      </c>
      <c r="U411" s="65">
        <f t="shared" ref="U411" si="226">N411/K411</f>
        <v>17559.78511008565</v>
      </c>
      <c r="V411" s="65">
        <v>1364.2830200640001</v>
      </c>
      <c r="W411" s="126">
        <v>2023</v>
      </c>
      <c r="X411" s="127" t="e">
        <f>+#REF!-'[1]Приложение №1'!$P934</f>
        <v>#REF!</v>
      </c>
      <c r="Z411" s="63">
        <f t="shared" ref="Z411" si="227">SUM(AA411:AO411)</f>
        <v>19642322.439999998</v>
      </c>
      <c r="AA411" s="64">
        <v>2821780.5180419399</v>
      </c>
      <c r="AB411" s="64">
        <v>1017993.6538753798</v>
      </c>
      <c r="AC411" s="64">
        <v>1063553.7540591599</v>
      </c>
      <c r="AD411" s="64">
        <v>665875.47655355989</v>
      </c>
      <c r="AE411" s="64">
        <v>0</v>
      </c>
      <c r="AF411" s="64"/>
      <c r="AG411" s="64">
        <v>101809.49181312</v>
      </c>
      <c r="AH411" s="64">
        <v>0</v>
      </c>
      <c r="AI411" s="64">
        <v>5222681.4190823995</v>
      </c>
      <c r="AJ411" s="64">
        <v>683592.85135050002</v>
      </c>
      <c r="AK411" s="64">
        <v>2711658.3273179396</v>
      </c>
      <c r="AL411" s="64">
        <v>2924782.3910923805</v>
      </c>
      <c r="AM411" s="64">
        <v>1855741.9672999999</v>
      </c>
      <c r="AN411" s="65">
        <v>196423.22439999998</v>
      </c>
      <c r="AO411" s="66">
        <v>376429.36511361995</v>
      </c>
      <c r="AP411" s="128">
        <f>+N411-'Приложение №2'!E420</f>
        <v>0</v>
      </c>
      <c r="AQ411" s="38">
        <v>805595.46</v>
      </c>
      <c r="AR411" s="25">
        <f t="shared" ref="AR411" si="228">+(K411*10.5+L411*21)*12*0.85</f>
        <v>167600.79</v>
      </c>
      <c r="AS411" s="25">
        <f>+(K411*10.5+L411*21)*12*30</f>
        <v>5915322.0000000009</v>
      </c>
      <c r="AT411" s="127">
        <f t="shared" si="193"/>
        <v>0</v>
      </c>
      <c r="AU411" s="127">
        <f>+P411-'[6]Приложение №1'!$P408</f>
        <v>-5180548.3166666673</v>
      </c>
      <c r="AV411" s="127">
        <f>+Q411-'[6]Приложение №1'!$Q408</f>
        <v>0</v>
      </c>
      <c r="AW411" s="88">
        <f t="shared" si="186"/>
        <v>16314796.345780578</v>
      </c>
      <c r="AX411" s="64">
        <v>3315321.42</v>
      </c>
      <c r="AY411" s="64">
        <v>1221730.31</v>
      </c>
      <c r="AZ411" s="64">
        <v>1207334.4761285561</v>
      </c>
      <c r="BA411" s="64">
        <v>839833.16</v>
      </c>
      <c r="BB411" s="64">
        <v>0</v>
      </c>
      <c r="BC411" s="64"/>
      <c r="BD411" s="64">
        <v>115576.72380976702</v>
      </c>
      <c r="BE411" s="64"/>
      <c r="BF411" s="64">
        <v>5928706.7255004831</v>
      </c>
      <c r="BG411" s="64"/>
      <c r="BH411" s="64">
        <v>0</v>
      </c>
      <c r="BI411" s="64">
        <v>3320169.8093535295</v>
      </c>
      <c r="BJ411" s="64"/>
      <c r="BK411" s="65"/>
      <c r="BL411" s="66">
        <v>366123.72098823986</v>
      </c>
    </row>
    <row r="412" spans="1:64" x14ac:dyDescent="0.25">
      <c r="A412" s="141">
        <f t="shared" si="214"/>
        <v>394</v>
      </c>
      <c r="B412" s="142">
        <f t="shared" si="215"/>
        <v>206</v>
      </c>
      <c r="C412" s="62" t="s">
        <v>45</v>
      </c>
      <c r="D412" s="62" t="s">
        <v>830</v>
      </c>
      <c r="E412" s="123">
        <v>1975</v>
      </c>
      <c r="F412" s="123">
        <v>1975</v>
      </c>
      <c r="G412" s="123" t="s">
        <v>43</v>
      </c>
      <c r="H412" s="123">
        <v>5</v>
      </c>
      <c r="I412" s="123">
        <v>5</v>
      </c>
      <c r="J412" s="64">
        <v>3670.4</v>
      </c>
      <c r="K412" s="64">
        <v>2958</v>
      </c>
      <c r="L412" s="64">
        <v>417.2</v>
      </c>
      <c r="M412" s="124">
        <v>116</v>
      </c>
      <c r="N412" s="63">
        <f>SUM(O412:T412)</f>
        <v>52108784.005023405</v>
      </c>
      <c r="O412" s="64"/>
      <c r="P412" s="65"/>
      <c r="Q412" s="65"/>
      <c r="R412" s="65">
        <f>+AQ412+AR412</f>
        <v>2197655.81</v>
      </c>
      <c r="S412" s="65">
        <f>+AS412</f>
        <v>14335271.999999998</v>
      </c>
      <c r="T412" s="65">
        <f>+'Приложение №2'!E421-'Приложение №1'!P412-'Приложение №1'!R412-'Приложение №1'!S412</f>
        <v>35575856.19502341</v>
      </c>
      <c r="U412" s="65">
        <f>N412/K412</f>
        <v>17616.221773165453</v>
      </c>
      <c r="V412" s="65">
        <v>1375.2830200640001</v>
      </c>
      <c r="W412" s="126">
        <v>2023</v>
      </c>
      <c r="X412" s="127" t="e">
        <f>+#REF!-'[1]Приложение №1'!$P1554</f>
        <v>#REF!</v>
      </c>
      <c r="Z412" s="63">
        <f>SUM(AA412:AO412)</f>
        <v>63008068.420000002</v>
      </c>
      <c r="AA412" s="64">
        <v>10289263.558588</v>
      </c>
      <c r="AB412" s="64">
        <v>3743156.0614419999</v>
      </c>
      <c r="AC412" s="64">
        <v>3946478.5112620001</v>
      </c>
      <c r="AD412" s="64">
        <v>2525477.5150359999</v>
      </c>
      <c r="AE412" s="64">
        <v>0</v>
      </c>
      <c r="AF412" s="64"/>
      <c r="AG412" s="64">
        <v>347116.72035600001</v>
      </c>
      <c r="AH412" s="64">
        <v>0</v>
      </c>
      <c r="AI412" s="64">
        <v>19311206.205424</v>
      </c>
      <c r="AJ412" s="64">
        <v>0</v>
      </c>
      <c r="AK412" s="64">
        <v>10034931.104254002</v>
      </c>
      <c r="AL412" s="64">
        <v>10831078.675998004</v>
      </c>
      <c r="AM412" s="64">
        <v>572156.82000000007</v>
      </c>
      <c r="AN412" s="64">
        <v>72629</v>
      </c>
      <c r="AO412" s="66">
        <v>1334574.2476400002</v>
      </c>
      <c r="AP412" s="128">
        <f>+N412-'Приложение №2'!E421</f>
        <v>0</v>
      </c>
      <c r="AQ412" s="38">
        <v>1791489.77</v>
      </c>
      <c r="AR412" s="25">
        <f>+(K412*10.5+L412*21)*12*0.85</f>
        <v>406166.04</v>
      </c>
      <c r="AS412" s="25">
        <f>+(K412*10.5+L412*21)*12*30</f>
        <v>14335271.999999998</v>
      </c>
      <c r="AT412" s="127">
        <f>+S412-AS412</f>
        <v>0</v>
      </c>
      <c r="AU412" s="127">
        <f>+P412-'[6]Приложение №1'!$P655</f>
        <v>-6983424.6841790471</v>
      </c>
      <c r="AV412" s="127">
        <f>+Q412-'[6]Приложение №1'!$Q655</f>
        <v>0</v>
      </c>
      <c r="AW412" s="88">
        <f>SUBTOTAL(9,AX412:BL412)</f>
        <v>52108784.005023412</v>
      </c>
      <c r="AX412" s="64">
        <v>10289258.887333037</v>
      </c>
      <c r="AY412" s="64">
        <v>3743163.2397435009</v>
      </c>
      <c r="AZ412" s="64">
        <v>3946494.7367781834</v>
      </c>
      <c r="BA412" s="64">
        <v>2525483.2241929346</v>
      </c>
      <c r="BB412" s="64">
        <v>0</v>
      </c>
      <c r="BC412" s="64"/>
      <c r="BD412" s="64">
        <v>347129.27930819179</v>
      </c>
      <c r="BE412" s="64">
        <v>0</v>
      </c>
      <c r="BF412" s="64">
        <v>19311208.02055205</v>
      </c>
      <c r="BG412" s="64">
        <v>0</v>
      </c>
      <c r="BH412" s="64"/>
      <c r="BI412" s="64">
        <v>10831087.386440508</v>
      </c>
      <c r="BJ412" s="64"/>
      <c r="BK412" s="64"/>
      <c r="BL412" s="66">
        <v>1114959.2306750074</v>
      </c>
    </row>
    <row r="413" spans="1:64" x14ac:dyDescent="0.25">
      <c r="A413" s="141">
        <f t="shared" si="214"/>
        <v>395</v>
      </c>
      <c r="B413" s="142">
        <f t="shared" si="215"/>
        <v>207</v>
      </c>
      <c r="C413" s="62" t="s">
        <v>45</v>
      </c>
      <c r="D413" s="62" t="s">
        <v>815</v>
      </c>
      <c r="E413" s="123">
        <v>2002</v>
      </c>
      <c r="F413" s="123">
        <v>2002</v>
      </c>
      <c r="G413" s="123" t="s">
        <v>43</v>
      </c>
      <c r="H413" s="123">
        <v>9</v>
      </c>
      <c r="I413" s="123">
        <v>2</v>
      </c>
      <c r="J413" s="64">
        <v>5167.8999999999996</v>
      </c>
      <c r="K413" s="64">
        <v>4391.8999999999996</v>
      </c>
      <c r="L413" s="64">
        <v>0</v>
      </c>
      <c r="M413" s="124">
        <v>172</v>
      </c>
      <c r="N413" s="95">
        <f t="shared" si="179"/>
        <v>7182720</v>
      </c>
      <c r="O413" s="64"/>
      <c r="P413" s="65"/>
      <c r="Q413" s="65">
        <v>718272</v>
      </c>
      <c r="R413" s="65">
        <f t="shared" si="223"/>
        <v>3024815.9801999996</v>
      </c>
      <c r="S413" s="65">
        <f>+'Приложение №2'!E422-Q413-'Приложение №1'!R413</f>
        <v>3439632.0198000004</v>
      </c>
      <c r="T413" s="65">
        <v>0</v>
      </c>
      <c r="U413" s="64">
        <f t="shared" si="217"/>
        <v>1635.4470730207884</v>
      </c>
      <c r="V413" s="64">
        <f t="shared" si="217"/>
        <v>1635.4470730207884</v>
      </c>
      <c r="W413" s="126">
        <v>2023</v>
      </c>
      <c r="X413" s="127" t="s">
        <v>147</v>
      </c>
      <c r="Z413" s="63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  <c r="AN413" s="65"/>
      <c r="AO413" s="66"/>
      <c r="AP413" s="128">
        <f>+N413-'Приложение №2'!E422</f>
        <v>0</v>
      </c>
      <c r="AQ413" s="23">
        <v>2429458.7999999998</v>
      </c>
      <c r="AR413" s="25">
        <f>+(K413*13.29+L413*22.52)*12*0.85</f>
        <v>595357.18019999983</v>
      </c>
      <c r="AS413" s="25">
        <f>+(K413*13.29+L413*22.52)*12*30</f>
        <v>21012606.359999996</v>
      </c>
      <c r="AT413" s="127">
        <f t="shared" si="193"/>
        <v>-17572974.340199996</v>
      </c>
      <c r="AU413" s="127">
        <f>+P413-'[6]Приложение №1'!$P367</f>
        <v>0</v>
      </c>
      <c r="AV413" s="127">
        <f>+Q413-'[6]Приложение №1'!$Q367</f>
        <v>0</v>
      </c>
      <c r="AW413" s="63">
        <f t="shared" si="186"/>
        <v>7182720</v>
      </c>
      <c r="AX413" s="71"/>
      <c r="AZ413" s="64"/>
      <c r="BA413" s="71"/>
      <c r="BB413" s="64"/>
      <c r="BC413" s="64"/>
      <c r="BD413" s="64"/>
      <c r="BE413" s="64">
        <v>6868490.3575085625</v>
      </c>
      <c r="BF413" s="64"/>
      <c r="BG413" s="64"/>
      <c r="BH413" s="64"/>
      <c r="BI413" s="64"/>
      <c r="BJ413" s="64">
        <v>140029.66941696001</v>
      </c>
      <c r="BK413" s="65">
        <v>24000</v>
      </c>
      <c r="BL413" s="66">
        <v>150199.97307447705</v>
      </c>
    </row>
    <row r="414" spans="1:64" x14ac:dyDescent="0.25">
      <c r="A414" s="141">
        <f t="shared" si="214"/>
        <v>396</v>
      </c>
      <c r="B414" s="142">
        <f t="shared" si="215"/>
        <v>208</v>
      </c>
      <c r="C414" s="62" t="s">
        <v>45</v>
      </c>
      <c r="D414" s="62" t="s">
        <v>823</v>
      </c>
      <c r="E414" s="123">
        <v>1969</v>
      </c>
      <c r="F414" s="123">
        <v>1969</v>
      </c>
      <c r="G414" s="123" t="s">
        <v>43</v>
      </c>
      <c r="H414" s="123">
        <v>4</v>
      </c>
      <c r="I414" s="123">
        <v>4</v>
      </c>
      <c r="J414" s="64">
        <v>1301.0999999999999</v>
      </c>
      <c r="K414" s="64">
        <v>1206.0999999999999</v>
      </c>
      <c r="L414" s="64">
        <v>0</v>
      </c>
      <c r="M414" s="124">
        <v>55</v>
      </c>
      <c r="N414" s="63">
        <f t="shared" ref="N414:N419" si="229">SUM(O414:T414)</f>
        <v>1342791.0154977101</v>
      </c>
      <c r="O414" s="64"/>
      <c r="P414" s="65"/>
      <c r="Q414" s="65"/>
      <c r="R414" s="65">
        <f t="shared" si="223"/>
        <v>753541.8899999999</v>
      </c>
      <c r="S414" s="65">
        <f>+'Приложение №2'!E423-'Приложение №1'!R414</f>
        <v>589249.12549771019</v>
      </c>
      <c r="T414" s="65">
        <f>+'Приложение №2'!E423-'Приложение №1'!P414-'Приложение №1'!Q414-'Приложение №1'!R414-'Приложение №1'!S414</f>
        <v>0</v>
      </c>
      <c r="U414" s="65">
        <f t="shared" ref="U414:U418" si="230">N414/K414</f>
        <v>1113.3330698098916</v>
      </c>
      <c r="V414" s="65">
        <v>1365.2830200640001</v>
      </c>
      <c r="W414" s="126">
        <v>2023</v>
      </c>
      <c r="X414" s="127" t="e">
        <f>+#REF!-'[1]Приложение №1'!$P1269</f>
        <v>#REF!</v>
      </c>
      <c r="Z414" s="63">
        <f t="shared" ref="Z414:Z418" si="231">SUM(AA414:AO414)</f>
        <v>20711430.510000002</v>
      </c>
      <c r="AA414" s="64">
        <v>3099206.3677902599</v>
      </c>
      <c r="AB414" s="64">
        <v>1118078.6011840198</v>
      </c>
      <c r="AC414" s="64">
        <v>1168117.9829516402</v>
      </c>
      <c r="AD414" s="64">
        <v>731341.61352924001</v>
      </c>
      <c r="AE414" s="64">
        <v>0</v>
      </c>
      <c r="AF414" s="64"/>
      <c r="AG414" s="64">
        <v>111818.98213248001</v>
      </c>
      <c r="AH414" s="64">
        <v>0</v>
      </c>
      <c r="AI414" s="64">
        <v>5736153.9664296005</v>
      </c>
      <c r="AJ414" s="64">
        <v>0</v>
      </c>
      <c r="AK414" s="64">
        <v>2978257.4163942602</v>
      </c>
      <c r="AL414" s="64">
        <v>3212334.9611770199</v>
      </c>
      <c r="AM414" s="64">
        <v>1951986.4567</v>
      </c>
      <c r="AN414" s="65">
        <v>207114.30510000003</v>
      </c>
      <c r="AO414" s="66">
        <v>397019.85661148006</v>
      </c>
      <c r="AP414" s="128">
        <f>+N414-'Приложение №2'!E423</f>
        <v>0</v>
      </c>
      <c r="AQ414" s="127">
        <f>624368.58-R150</f>
        <v>624368.57999999996</v>
      </c>
      <c r="AR414" s="25">
        <f t="shared" ref="AR414:AR418" si="232">+(K414*10.5+L414*21)*12*0.85</f>
        <v>129173.30999999998</v>
      </c>
      <c r="AS414" s="25">
        <f>+(K414*10.5+L414*21)*12*30-S150</f>
        <v>3554092.544635999</v>
      </c>
      <c r="AT414" s="127">
        <f t="shared" si="193"/>
        <v>-2964843.4191382891</v>
      </c>
      <c r="AU414" s="127">
        <f>+P414-'[6]Приложение №1'!$P407</f>
        <v>-4675363.0278000021</v>
      </c>
      <c r="AV414" s="127">
        <f>+Q414-'[6]Приложение №1'!$Q407</f>
        <v>0</v>
      </c>
      <c r="AW414" s="88">
        <f t="shared" si="186"/>
        <v>1342791.0154977101</v>
      </c>
      <c r="AX414" s="64"/>
      <c r="AY414" s="64"/>
      <c r="AZ414" s="64">
        <v>1168117.9829516402</v>
      </c>
      <c r="BA414" s="64"/>
      <c r="BB414" s="64"/>
      <c r="BC414" s="64"/>
      <c r="BD414" s="64"/>
      <c r="BE414" s="64">
        <v>0</v>
      </c>
      <c r="BF414" s="64"/>
      <c r="BG414" s="64">
        <v>0</v>
      </c>
      <c r="BH414" s="64"/>
      <c r="BI414" s="64"/>
      <c r="BJ414" s="64"/>
      <c r="BK414" s="65"/>
      <c r="BL414" s="66">
        <v>174673.03254607006</v>
      </c>
    </row>
    <row r="415" spans="1:64" x14ac:dyDescent="0.25">
      <c r="A415" s="141">
        <f t="shared" si="214"/>
        <v>397</v>
      </c>
      <c r="B415" s="142">
        <f t="shared" si="215"/>
        <v>209</v>
      </c>
      <c r="C415" s="62" t="s">
        <v>45</v>
      </c>
      <c r="D415" s="62" t="s">
        <v>824</v>
      </c>
      <c r="E415" s="123">
        <v>1970</v>
      </c>
      <c r="F415" s="123">
        <v>1970</v>
      </c>
      <c r="G415" s="123" t="s">
        <v>43</v>
      </c>
      <c r="H415" s="123">
        <v>4</v>
      </c>
      <c r="I415" s="123">
        <v>4</v>
      </c>
      <c r="J415" s="64">
        <v>1365.1</v>
      </c>
      <c r="K415" s="64">
        <v>1195.1600000000001</v>
      </c>
      <c r="L415" s="64">
        <v>66.400000000000006</v>
      </c>
      <c r="M415" s="124">
        <v>42</v>
      </c>
      <c r="N415" s="63">
        <f t="shared" si="229"/>
        <v>5925044.4175739177</v>
      </c>
      <c r="O415" s="64"/>
      <c r="P415" s="65"/>
      <c r="Q415" s="65"/>
      <c r="R415" s="65">
        <f t="shared" si="223"/>
        <v>558986.37599999993</v>
      </c>
      <c r="S415" s="65">
        <f>+AS415-103510.89</f>
        <v>3905532.65</v>
      </c>
      <c r="T415" s="65">
        <f>+'Приложение №2'!E424-'Приложение №1'!P415-'Приложение №1'!R415-'Приложение №1'!S415</f>
        <v>1460525.3915739185</v>
      </c>
      <c r="U415" s="65">
        <f t="shared" si="230"/>
        <v>4957.5323953059988</v>
      </c>
      <c r="V415" s="65">
        <v>1366.2830200640001</v>
      </c>
      <c r="W415" s="126">
        <v>2023</v>
      </c>
      <c r="X415" s="127" t="e">
        <f>+#REF!-'[1]Приложение №1'!$P934</f>
        <v>#REF!</v>
      </c>
      <c r="Z415" s="63">
        <f t="shared" si="231"/>
        <v>20539765.109999996</v>
      </c>
      <c r="AA415" s="64">
        <v>3073518.7891098596</v>
      </c>
      <c r="AB415" s="64">
        <v>1108811.4764332199</v>
      </c>
      <c r="AC415" s="64">
        <v>1158436.1099060399</v>
      </c>
      <c r="AD415" s="64">
        <v>725279.93417963991</v>
      </c>
      <c r="AE415" s="64">
        <v>0</v>
      </c>
      <c r="AF415" s="64"/>
      <c r="AG415" s="64">
        <v>110892.17747327998</v>
      </c>
      <c r="AH415" s="64">
        <v>0</v>
      </c>
      <c r="AI415" s="64">
        <v>5688610.2120455997</v>
      </c>
      <c r="AJ415" s="64">
        <v>0</v>
      </c>
      <c r="AK415" s="64">
        <v>2953572.3155538603</v>
      </c>
      <c r="AL415" s="64">
        <v>3185709.7232062202</v>
      </c>
      <c r="AM415" s="64">
        <v>1935807.5387000002</v>
      </c>
      <c r="AN415" s="65">
        <v>205397.65109999999</v>
      </c>
      <c r="AO415" s="66">
        <v>393729.18229228002</v>
      </c>
      <c r="AP415" s="128">
        <f>+N415-'Приложение №2'!E424</f>
        <v>0</v>
      </c>
      <c r="AQ415" s="23">
        <f>578197.03-161435.17</f>
        <v>416761.86</v>
      </c>
      <c r="AR415" s="25">
        <f t="shared" si="232"/>
        <v>142224.516</v>
      </c>
      <c r="AS415" s="25">
        <f>+(K415*10.5+L415*21)*12*30-1010645.26</f>
        <v>4009043.54</v>
      </c>
      <c r="AT415" s="127">
        <f t="shared" si="193"/>
        <v>-103510.89000000013</v>
      </c>
      <c r="AU415" s="127">
        <f>+P415-'[6]Приложение №1'!$P408</f>
        <v>-5180548.3166666673</v>
      </c>
      <c r="AV415" s="127">
        <f>+Q415-'[6]Приложение №1'!$Q408</f>
        <v>0</v>
      </c>
      <c r="AW415" s="88">
        <f t="shared" si="186"/>
        <v>5925044.4175739186</v>
      </c>
      <c r="AX415" s="64"/>
      <c r="AY415" s="64"/>
      <c r="AZ415" s="64"/>
      <c r="BA415" s="64"/>
      <c r="BB415" s="64">
        <v>0</v>
      </c>
      <c r="BC415" s="64"/>
      <c r="BD415" s="64"/>
      <c r="BE415" s="64">
        <v>0</v>
      </c>
      <c r="BF415" s="64">
        <v>5688610.2120455997</v>
      </c>
      <c r="BG415" s="64">
        <v>0</v>
      </c>
      <c r="BH415" s="64"/>
      <c r="BI415" s="64"/>
      <c r="BJ415" s="64"/>
      <c r="BK415" s="65"/>
      <c r="BL415" s="66">
        <v>236434.2055283185</v>
      </c>
    </row>
    <row r="416" spans="1:64" x14ac:dyDescent="0.25">
      <c r="A416" s="141">
        <f t="shared" si="214"/>
        <v>398</v>
      </c>
      <c r="B416" s="142">
        <f t="shared" si="215"/>
        <v>210</v>
      </c>
      <c r="C416" s="62" t="s">
        <v>45</v>
      </c>
      <c r="D416" s="62" t="s">
        <v>825</v>
      </c>
      <c r="E416" s="123">
        <v>1965</v>
      </c>
      <c r="F416" s="123">
        <v>1965</v>
      </c>
      <c r="G416" s="123" t="s">
        <v>43</v>
      </c>
      <c r="H416" s="123">
        <v>3</v>
      </c>
      <c r="I416" s="123">
        <v>2</v>
      </c>
      <c r="J416" s="64">
        <v>987.3</v>
      </c>
      <c r="K416" s="64">
        <v>918.1</v>
      </c>
      <c r="L416" s="64">
        <v>68.099999999999994</v>
      </c>
      <c r="M416" s="124">
        <v>38</v>
      </c>
      <c r="N416" s="63">
        <f t="shared" si="229"/>
        <v>28086582.335604999</v>
      </c>
      <c r="O416" s="64"/>
      <c r="P416" s="65"/>
      <c r="Q416" s="65"/>
      <c r="R416" s="65">
        <f t="shared" si="223"/>
        <v>516779.02</v>
      </c>
      <c r="S416" s="65">
        <f t="shared" ref="S416:S418" si="233">+AS416</f>
        <v>3985254.0000000005</v>
      </c>
      <c r="T416" s="65">
        <f>+'Приложение №2'!E425-'Приложение №1'!P416-'Приложение №1'!R416-'Приложение №1'!S416</f>
        <v>23584549.315605</v>
      </c>
      <c r="U416" s="65">
        <f t="shared" si="230"/>
        <v>30592.073124501687</v>
      </c>
      <c r="V416" s="65">
        <v>1367.2830200640001</v>
      </c>
      <c r="W416" s="126">
        <v>2023</v>
      </c>
      <c r="X416" s="127" t="e">
        <f>+#REF!-'[1]Приложение №1'!$P933</f>
        <v>#REF!</v>
      </c>
      <c r="Z416" s="63">
        <f t="shared" si="231"/>
        <v>36579168.819999993</v>
      </c>
      <c r="AA416" s="64">
        <v>3296586.4242183599</v>
      </c>
      <c r="AB416" s="64">
        <v>2005923.7262883002</v>
      </c>
      <c r="AC416" s="64">
        <v>945220.05597012001</v>
      </c>
      <c r="AD416" s="64">
        <v>805515.18886355986</v>
      </c>
      <c r="AE416" s="64">
        <v>0</v>
      </c>
      <c r="AF416" s="64"/>
      <c r="AG416" s="64">
        <v>312478.89445500006</v>
      </c>
      <c r="AH416" s="64">
        <v>0</v>
      </c>
      <c r="AI416" s="64">
        <v>9536457.495171601</v>
      </c>
      <c r="AJ416" s="64">
        <v>0</v>
      </c>
      <c r="AK416" s="64">
        <v>7797629.057187479</v>
      </c>
      <c r="AL416" s="64">
        <v>7337973.3202931397</v>
      </c>
      <c r="AM416" s="64">
        <v>3474991.5172000001</v>
      </c>
      <c r="AN416" s="65">
        <v>365791.68819999992</v>
      </c>
      <c r="AO416" s="66">
        <v>700601.45215243986</v>
      </c>
      <c r="AP416" s="128">
        <f>+N416-'Приложение №2'!E425</f>
        <v>0</v>
      </c>
      <c r="AQ416" s="38">
        <v>403863.49</v>
      </c>
      <c r="AR416" s="25">
        <f t="shared" si="232"/>
        <v>112915.53000000001</v>
      </c>
      <c r="AS416" s="25">
        <f>+(K416*10.5+L416*21)*12*30</f>
        <v>3985254.0000000005</v>
      </c>
      <c r="AT416" s="127">
        <f t="shared" si="193"/>
        <v>0</v>
      </c>
      <c r="AU416" s="127">
        <f>+P416-'[6]Приложение №1'!$P407</f>
        <v>-4675363.0278000021</v>
      </c>
      <c r="AV416" s="127">
        <f>+Q416-'[6]Приложение №1'!$Q407</f>
        <v>0</v>
      </c>
      <c r="AW416" s="88">
        <f t="shared" si="186"/>
        <v>28086582.335604999</v>
      </c>
      <c r="AX416" s="64"/>
      <c r="AY416" s="64"/>
      <c r="AZ416" s="64"/>
      <c r="BA416" s="64"/>
      <c r="BB416" s="64"/>
      <c r="BC416" s="64"/>
      <c r="BD416" s="64"/>
      <c r="BE416" s="64">
        <v>0</v>
      </c>
      <c r="BF416" s="64">
        <v>10499304.299651999</v>
      </c>
      <c r="BG416" s="64">
        <v>0</v>
      </c>
      <c r="BH416" s="64">
        <v>8671328.1752159987</v>
      </c>
      <c r="BI416" s="64">
        <v>8142382.5448560007</v>
      </c>
      <c r="BJ416" s="64"/>
      <c r="BK416" s="65"/>
      <c r="BL416" s="66">
        <v>773567.3158809999</v>
      </c>
    </row>
    <row r="417" spans="1:65" x14ac:dyDescent="0.25">
      <c r="A417" s="141">
        <f t="shared" si="214"/>
        <v>399</v>
      </c>
      <c r="B417" s="142">
        <f t="shared" si="215"/>
        <v>211</v>
      </c>
      <c r="C417" s="62" t="s">
        <v>45</v>
      </c>
      <c r="D417" s="62" t="s">
        <v>826</v>
      </c>
      <c r="E417" s="123">
        <v>1964</v>
      </c>
      <c r="F417" s="123">
        <v>1964</v>
      </c>
      <c r="G417" s="123" t="s">
        <v>43</v>
      </c>
      <c r="H417" s="123">
        <v>3</v>
      </c>
      <c r="I417" s="123">
        <v>1</v>
      </c>
      <c r="J417" s="64">
        <v>998.5</v>
      </c>
      <c r="K417" s="64">
        <v>928.6</v>
      </c>
      <c r="L417" s="64">
        <v>69.900000000000006</v>
      </c>
      <c r="M417" s="124">
        <v>43</v>
      </c>
      <c r="N417" s="63">
        <f t="shared" si="229"/>
        <v>28394916.549863964</v>
      </c>
      <c r="O417" s="64"/>
      <c r="P417" s="65"/>
      <c r="Q417" s="65"/>
      <c r="R417" s="65">
        <f t="shared" si="223"/>
        <v>597721.75</v>
      </c>
      <c r="S417" s="65">
        <f t="shared" si="233"/>
        <v>4038552.0000000009</v>
      </c>
      <c r="T417" s="65">
        <f>+'Приложение №2'!E426-'Приложение №1'!P417-'Приложение №1'!R417-'Приложение №1'!S417</f>
        <v>23758642.799863964</v>
      </c>
      <c r="U417" s="65">
        <f t="shared" si="230"/>
        <v>30578.200032160203</v>
      </c>
      <c r="V417" s="65">
        <v>1368.2830200640001</v>
      </c>
      <c r="W417" s="126">
        <v>2023</v>
      </c>
      <c r="X417" s="127" t="e">
        <f>+#REF!-'[1]Приложение №1'!$P934</f>
        <v>#REF!</v>
      </c>
      <c r="Z417" s="63">
        <f t="shared" si="231"/>
        <v>36927435.980000004</v>
      </c>
      <c r="AA417" s="64">
        <v>3327972.9418462794</v>
      </c>
      <c r="AB417" s="64">
        <v>2025021.9533430603</v>
      </c>
      <c r="AC417" s="64">
        <v>954219.41462316003</v>
      </c>
      <c r="AD417" s="64">
        <v>813184.43439659989</v>
      </c>
      <c r="AE417" s="64">
        <v>0</v>
      </c>
      <c r="AF417" s="64"/>
      <c r="AG417" s="64">
        <v>315453.97193603998</v>
      </c>
      <c r="AH417" s="64">
        <v>0</v>
      </c>
      <c r="AI417" s="64">
        <v>9627253.2988379989</v>
      </c>
      <c r="AJ417" s="64">
        <v>0</v>
      </c>
      <c r="AK417" s="64">
        <v>7871869.6290435605</v>
      </c>
      <c r="AL417" s="64">
        <v>7407837.5399091002</v>
      </c>
      <c r="AM417" s="64">
        <v>3508076.6171999997</v>
      </c>
      <c r="AN417" s="65">
        <v>369274.35979999998</v>
      </c>
      <c r="AO417" s="66">
        <v>707271.81906420004</v>
      </c>
      <c r="AP417" s="128">
        <f>+N417-'Приложение №2'!E426</f>
        <v>0</v>
      </c>
      <c r="AQ417" s="38">
        <v>483296.11</v>
      </c>
      <c r="AR417" s="25">
        <f t="shared" si="232"/>
        <v>114425.64000000001</v>
      </c>
      <c r="AS417" s="25">
        <f>+(K417*10.5+L417*21)*12*30</f>
        <v>4038552.0000000009</v>
      </c>
      <c r="AT417" s="127">
        <f t="shared" si="193"/>
        <v>0</v>
      </c>
      <c r="AU417" s="127">
        <f>+P417-'[6]Приложение №1'!$P408</f>
        <v>-5180548.3166666673</v>
      </c>
      <c r="AV417" s="127">
        <f>+Q417-'[6]Приложение №1'!$Q408</f>
        <v>0</v>
      </c>
      <c r="AW417" s="88">
        <f t="shared" si="186"/>
        <v>28394916.549863964</v>
      </c>
      <c r="AX417" s="64"/>
      <c r="AY417" s="64"/>
      <c r="AZ417" s="64"/>
      <c r="BA417" s="64"/>
      <c r="BB417" s="64"/>
      <c r="BC417" s="64"/>
      <c r="BD417" s="64"/>
      <c r="BE417" s="64">
        <v>0</v>
      </c>
      <c r="BF417" s="64">
        <v>10614144.820062</v>
      </c>
      <c r="BG417" s="64">
        <v>0</v>
      </c>
      <c r="BH417" s="64">
        <v>8769141.9461520016</v>
      </c>
      <c r="BI417" s="64">
        <v>8229942.0850500017</v>
      </c>
      <c r="BJ417" s="64"/>
      <c r="BK417" s="65"/>
      <c r="BL417" s="66">
        <v>781687.69859996007</v>
      </c>
    </row>
    <row r="418" spans="1:65" x14ac:dyDescent="0.25">
      <c r="A418" s="141">
        <f t="shared" si="214"/>
        <v>400</v>
      </c>
      <c r="B418" s="142">
        <f t="shared" si="215"/>
        <v>212</v>
      </c>
      <c r="C418" s="62" t="s">
        <v>45</v>
      </c>
      <c r="D418" s="62" t="s">
        <v>831</v>
      </c>
      <c r="E418" s="123">
        <v>1976</v>
      </c>
      <c r="F418" s="123">
        <v>1976</v>
      </c>
      <c r="G418" s="123" t="s">
        <v>43</v>
      </c>
      <c r="H418" s="123">
        <v>5</v>
      </c>
      <c r="I418" s="123">
        <v>5</v>
      </c>
      <c r="J418" s="64">
        <v>3760.4</v>
      </c>
      <c r="K418" s="64">
        <v>2861.4</v>
      </c>
      <c r="L418" s="64">
        <v>798.2</v>
      </c>
      <c r="M418" s="124">
        <v>103</v>
      </c>
      <c r="N418" s="63">
        <f t="shared" si="229"/>
        <v>35967841.69566232</v>
      </c>
      <c r="O418" s="64"/>
      <c r="P418" s="65"/>
      <c r="Q418" s="65"/>
      <c r="R418" s="65">
        <f t="shared" si="223"/>
        <v>2155996.0499999998</v>
      </c>
      <c r="S418" s="65">
        <f t="shared" si="233"/>
        <v>16850484</v>
      </c>
      <c r="T418" s="65">
        <f>+'Приложение №2'!E427-'Приложение №1'!P418-'Приложение №1'!R418-'Приложение №1'!S418</f>
        <v>16961361.645662323</v>
      </c>
      <c r="U418" s="65">
        <f t="shared" si="230"/>
        <v>12570.015270728427</v>
      </c>
      <c r="V418" s="65">
        <v>1376.2830200640001</v>
      </c>
      <c r="W418" s="126">
        <v>2023</v>
      </c>
      <c r="X418" s="127" t="e">
        <f>+#REF!-'[1]Приложение №1'!$P1306</f>
        <v>#REF!</v>
      </c>
      <c r="Z418" s="63">
        <f t="shared" si="231"/>
        <v>64553057.020000003</v>
      </c>
      <c r="AA418" s="64">
        <v>10537075.366258001</v>
      </c>
      <c r="AB418" s="64">
        <v>3835013.4758320004</v>
      </c>
      <c r="AC418" s="64">
        <v>4042843.3866100004</v>
      </c>
      <c r="AD418" s="64">
        <v>2587058.6111860005</v>
      </c>
      <c r="AE418" s="64">
        <v>0</v>
      </c>
      <c r="AF418" s="64"/>
      <c r="AG418" s="64">
        <v>355628.19171599997</v>
      </c>
      <c r="AH418" s="64">
        <v>0</v>
      </c>
      <c r="AI418" s="64">
        <v>19695633.831831999</v>
      </c>
      <c r="AJ418" s="64">
        <v>0</v>
      </c>
      <c r="AK418" s="64">
        <v>10278986.262244001</v>
      </c>
      <c r="AL418" s="64">
        <v>11095009.757790001</v>
      </c>
      <c r="AM418" s="64">
        <v>686396.29</v>
      </c>
      <c r="AN418" s="64">
        <v>74254.350000000006</v>
      </c>
      <c r="AO418" s="66">
        <v>1365157.4965319997</v>
      </c>
      <c r="AP418" s="128">
        <f>+N418-'Приложение №2'!E427</f>
        <v>0</v>
      </c>
      <c r="AQ418" s="38">
        <v>1678565.67</v>
      </c>
      <c r="AR418" s="25">
        <f t="shared" si="232"/>
        <v>477430.38</v>
      </c>
      <c r="AS418" s="25">
        <f t="shared" ref="AS418" si="234">+(K418*10.5+L418*21)*12*30</f>
        <v>16850484</v>
      </c>
      <c r="AT418" s="127">
        <f t="shared" si="193"/>
        <v>0</v>
      </c>
      <c r="AU418" s="127">
        <f>+P418-'[6]Приложение №1'!$P407</f>
        <v>-4675363.0278000021</v>
      </c>
      <c r="AV418" s="127">
        <f>+Q418-'[6]Приложение №1'!$Q407</f>
        <v>0</v>
      </c>
      <c r="AW418" s="88">
        <f t="shared" si="186"/>
        <v>35967841.69566232</v>
      </c>
      <c r="AX418" s="64"/>
      <c r="AY418" s="64"/>
      <c r="AZ418" s="64">
        <v>4042843.3866100004</v>
      </c>
      <c r="BA418" s="64"/>
      <c r="BB418" s="64">
        <v>0</v>
      </c>
      <c r="BC418" s="64"/>
      <c r="BD418" s="64"/>
      <c r="BE418" s="64">
        <v>0</v>
      </c>
      <c r="BF418" s="64">
        <v>19695633.831831999</v>
      </c>
      <c r="BG418" s="64"/>
      <c r="BH418" s="64"/>
      <c r="BI418" s="64">
        <v>11089164.4332</v>
      </c>
      <c r="BJ418" s="64"/>
      <c r="BK418" s="64"/>
      <c r="BL418" s="66">
        <v>1140200.0440203198</v>
      </c>
    </row>
    <row r="419" spans="1:65" x14ac:dyDescent="0.25">
      <c r="A419" s="141">
        <f t="shared" si="214"/>
        <v>401</v>
      </c>
      <c r="B419" s="142">
        <f t="shared" si="215"/>
        <v>213</v>
      </c>
      <c r="C419" s="62" t="s">
        <v>45</v>
      </c>
      <c r="D419" s="62" t="s">
        <v>816</v>
      </c>
      <c r="E419" s="123">
        <v>1967</v>
      </c>
      <c r="F419" s="123">
        <v>1967</v>
      </c>
      <c r="G419" s="123" t="s">
        <v>43</v>
      </c>
      <c r="H419" s="123">
        <v>3</v>
      </c>
      <c r="I419" s="123">
        <v>2</v>
      </c>
      <c r="J419" s="64">
        <v>994.3</v>
      </c>
      <c r="K419" s="64">
        <v>775.2</v>
      </c>
      <c r="L419" s="64">
        <v>168.7</v>
      </c>
      <c r="M419" s="124">
        <v>26</v>
      </c>
      <c r="N419" s="63">
        <f t="shared" si="229"/>
        <v>19301278.195015326</v>
      </c>
      <c r="O419" s="64"/>
      <c r="P419" s="65">
        <v>4845301.1875000009</v>
      </c>
      <c r="Q419" s="65"/>
      <c r="R419" s="65">
        <f t="shared" si="223"/>
        <v>486776.28</v>
      </c>
      <c r="S419" s="65">
        <f>+AS419</f>
        <v>4005360</v>
      </c>
      <c r="T419" s="65">
        <f>+'Приложение №2'!E428-'Приложение №1'!P419-'Приложение №1'!R419-'Приложение №1'!S419</f>
        <v>9963840.7275153231</v>
      </c>
      <c r="U419" s="64">
        <f t="shared" si="217"/>
        <v>20448.43542220079</v>
      </c>
      <c r="V419" s="64">
        <f t="shared" si="217"/>
        <v>20448.43542220079</v>
      </c>
      <c r="W419" s="126">
        <v>2023</v>
      </c>
      <c r="X419" s="127" t="e">
        <f>+#REF!-'[1]Приложение №1'!$P1393</f>
        <v>#REF!</v>
      </c>
      <c r="Z419" s="63">
        <f t="shared" ref="Z419:Z429" si="235">SUM(AA419:AO419)</f>
        <v>34167233.340000004</v>
      </c>
      <c r="AA419" s="64">
        <v>3079218.0664572599</v>
      </c>
      <c r="AB419" s="64">
        <v>1873658.3176915799</v>
      </c>
      <c r="AC419" s="64">
        <v>882894.70095414005</v>
      </c>
      <c r="AD419" s="64">
        <v>752401.6108417199</v>
      </c>
      <c r="AE419" s="64">
        <v>0</v>
      </c>
      <c r="AF419" s="64"/>
      <c r="AG419" s="64">
        <v>291874.83960432006</v>
      </c>
      <c r="AH419" s="64">
        <v>0</v>
      </c>
      <c r="AI419" s="64">
        <v>8907648.2312202007</v>
      </c>
      <c r="AJ419" s="64">
        <v>0</v>
      </c>
      <c r="AK419" s="64">
        <v>7283473.6350293402</v>
      </c>
      <c r="AL419" s="64">
        <v>6854126.4005717998</v>
      </c>
      <c r="AM419" s="64">
        <v>3245859.5940000005</v>
      </c>
      <c r="AN419" s="65">
        <v>341672.33340000006</v>
      </c>
      <c r="AO419" s="66">
        <v>654405.61022964003</v>
      </c>
      <c r="AP419" s="128">
        <f>+N419-'Приложение №2'!E428</f>
        <v>0</v>
      </c>
      <c r="AQ419" s="23">
        <v>373291.08</v>
      </c>
      <c r="AR419" s="25">
        <f>+(K419*10+L419*20)*12*0.85</f>
        <v>113485.2</v>
      </c>
      <c r="AS419" s="25">
        <f>+(K419*10+L419*20)*12*30</f>
        <v>4005360</v>
      </c>
      <c r="AT419" s="127">
        <f t="shared" si="193"/>
        <v>0</v>
      </c>
      <c r="AU419" s="127" t="e">
        <f>+#REF!-'[6]Приложение №1'!$P369</f>
        <v>#REF!</v>
      </c>
      <c r="AV419" s="127">
        <f>+Q419-'[6]Приложение №1'!$Q369</f>
        <v>0</v>
      </c>
      <c r="AW419" s="63">
        <f t="shared" si="186"/>
        <v>19301278.195015322</v>
      </c>
      <c r="AX419" s="64"/>
      <c r="AY419" s="64">
        <v>450967.71</v>
      </c>
      <c r="AZ419" s="64"/>
      <c r="BA419" s="64">
        <v>341058.14</v>
      </c>
      <c r="BB419" s="64">
        <v>0</v>
      </c>
      <c r="BC419" s="64"/>
      <c r="BD419" s="64"/>
      <c r="BE419" s="64">
        <v>0</v>
      </c>
      <c r="BF419" s="64">
        <v>9849605.5063979998</v>
      </c>
      <c r="BG419" s="64">
        <v>0</v>
      </c>
      <c r="BH419" s="64">
        <v>8095399.4499840001</v>
      </c>
      <c r="BI419" s="64">
        <v>283215.94</v>
      </c>
      <c r="BJ419" s="64"/>
      <c r="BK419" s="65"/>
      <c r="BL419" s="66">
        <v>281031.44863332005</v>
      </c>
    </row>
    <row r="420" spans="1:65" x14ac:dyDescent="0.25">
      <c r="A420" s="141">
        <f t="shared" si="214"/>
        <v>402</v>
      </c>
      <c r="B420" s="142">
        <f t="shared" si="215"/>
        <v>214</v>
      </c>
      <c r="C420" s="62" t="s">
        <v>45</v>
      </c>
      <c r="D420" s="62" t="s">
        <v>827</v>
      </c>
      <c r="E420" s="123">
        <v>1970</v>
      </c>
      <c r="F420" s="123">
        <v>1970</v>
      </c>
      <c r="G420" s="123" t="s">
        <v>43</v>
      </c>
      <c r="H420" s="123">
        <v>3</v>
      </c>
      <c r="I420" s="123">
        <v>3</v>
      </c>
      <c r="J420" s="64">
        <v>1002.4</v>
      </c>
      <c r="K420" s="64">
        <v>930.4</v>
      </c>
      <c r="L420" s="64">
        <v>71.8</v>
      </c>
      <c r="M420" s="124">
        <v>40</v>
      </c>
      <c r="N420" s="63">
        <f t="shared" ref="N420" si="236">SUM(O420:T420)</f>
        <v>26562361.188331299</v>
      </c>
      <c r="O420" s="64"/>
      <c r="P420" s="65">
        <f>6554730.612-1177733.94</f>
        <v>5376996.6720000003</v>
      </c>
      <c r="Q420" s="65"/>
      <c r="R420" s="65">
        <f>+AQ420+AR420</f>
        <v>618572.46</v>
      </c>
      <c r="S420" s="65">
        <f t="shared" ref="S420" si="237">+AS420</f>
        <v>4059719.9999999991</v>
      </c>
      <c r="T420" s="65">
        <f>+'Приложение №2'!E429-'Приложение №1'!P420-'Приложение №1'!R420-'Приложение №1'!S420</f>
        <v>16507072.056331299</v>
      </c>
      <c r="U420" s="65">
        <f t="shared" ref="U420" si="238">N420/K420</f>
        <v>28549.399385566743</v>
      </c>
      <c r="V420" s="65">
        <v>1370.2830200640001</v>
      </c>
      <c r="W420" s="126">
        <v>2023</v>
      </c>
      <c r="X420" s="127" t="e">
        <f>+#REF!-'[1]Приложение №1'!$P935</f>
        <v>#REF!</v>
      </c>
      <c r="Z420" s="63">
        <f t="shared" si="235"/>
        <v>37138619.279999994</v>
      </c>
      <c r="AA420" s="64">
        <v>3347005.1922762003</v>
      </c>
      <c r="AB420" s="64">
        <v>2036602.79352348</v>
      </c>
      <c r="AC420" s="64">
        <v>959676.47271510004</v>
      </c>
      <c r="AD420" s="64">
        <v>817834.93398936011</v>
      </c>
      <c r="AE420" s="64">
        <v>0</v>
      </c>
      <c r="AF420" s="64"/>
      <c r="AG420" s="64">
        <v>317258.01868739998</v>
      </c>
      <c r="AH420" s="64">
        <v>0</v>
      </c>
      <c r="AI420" s="64">
        <v>9682310.3290956002</v>
      </c>
      <c r="AJ420" s="64">
        <v>0</v>
      </c>
      <c r="AK420" s="64">
        <v>7916887.847777158</v>
      </c>
      <c r="AL420" s="64">
        <v>7450202.0227714796</v>
      </c>
      <c r="AM420" s="64">
        <v>3528138.8598999996</v>
      </c>
      <c r="AN420" s="65">
        <v>371386.19280000002</v>
      </c>
      <c r="AO420" s="66">
        <v>711316.6164642201</v>
      </c>
      <c r="AP420" s="128">
        <f>+N420-'Приложение №2'!E429</f>
        <v>0</v>
      </c>
      <c r="AQ420" s="38">
        <v>503547.06</v>
      </c>
      <c r="AR420" s="25">
        <f t="shared" ref="AR420" si="239">+(K420*10.5+L420*21)*12*0.85</f>
        <v>115025.39999999997</v>
      </c>
      <c r="AS420" s="25">
        <f>+(K420*10.5+L420*21)*12*30</f>
        <v>4059719.9999999991</v>
      </c>
      <c r="AT420" s="127">
        <f t="shared" si="193"/>
        <v>0</v>
      </c>
      <c r="AU420" s="127">
        <f>+P420-'[6]Приложение №1'!$P409</f>
        <v>5376996.6720000003</v>
      </c>
      <c r="AV420" s="127">
        <f>+Q420-'[6]Приложение №1'!$Q409</f>
        <v>0</v>
      </c>
      <c r="AW420" s="88">
        <f t="shared" si="186"/>
        <v>26562361.188331299</v>
      </c>
      <c r="AX420" s="64"/>
      <c r="AY420" s="64"/>
      <c r="AZ420" s="64"/>
      <c r="BA420" s="64"/>
      <c r="BB420" s="64">
        <v>0</v>
      </c>
      <c r="BC420" s="64"/>
      <c r="BD420" s="64"/>
      <c r="BE420" s="64">
        <v>0</v>
      </c>
      <c r="BF420" s="64">
        <v>9682310.3290956002</v>
      </c>
      <c r="BG420" s="64">
        <v>0</v>
      </c>
      <c r="BH420" s="64">
        <v>8718532.2200000007</v>
      </c>
      <c r="BI420" s="64">
        <v>7450202.0227714796</v>
      </c>
      <c r="BJ420" s="64"/>
      <c r="BK420" s="65"/>
      <c r="BL420" s="66">
        <v>711316.6164642201</v>
      </c>
    </row>
    <row r="421" spans="1:65" x14ac:dyDescent="0.25">
      <c r="A421" s="141">
        <f t="shared" si="214"/>
        <v>403</v>
      </c>
      <c r="B421" s="142">
        <f t="shared" si="215"/>
        <v>215</v>
      </c>
      <c r="C421" s="62" t="s">
        <v>45</v>
      </c>
      <c r="D421" s="62" t="s">
        <v>817</v>
      </c>
      <c r="E421" s="123">
        <v>1974</v>
      </c>
      <c r="F421" s="123">
        <v>1974</v>
      </c>
      <c r="G421" s="123" t="s">
        <v>43</v>
      </c>
      <c r="H421" s="123">
        <v>4</v>
      </c>
      <c r="I421" s="123">
        <v>3</v>
      </c>
      <c r="J421" s="64">
        <v>1380.9</v>
      </c>
      <c r="K421" s="64">
        <v>1261.0999999999999</v>
      </c>
      <c r="L421" s="64">
        <v>0</v>
      </c>
      <c r="M421" s="124">
        <v>43</v>
      </c>
      <c r="N421" s="95">
        <f t="shared" si="179"/>
        <v>1066397.1808183601</v>
      </c>
      <c r="O421" s="64"/>
      <c r="P421" s="65"/>
      <c r="Q421" s="65"/>
      <c r="R421" s="65">
        <f t="shared" si="223"/>
        <v>0</v>
      </c>
      <c r="S421" s="65">
        <f>+'Приложение №2'!E430-'Приложение №1'!P421-'Приложение №1'!Q421-'Приложение №1'!R421</f>
        <v>1066397.1808183601</v>
      </c>
      <c r="T421" s="65">
        <f>+'Приложение №2'!E430-'Приложение №1'!P421-'Приложение №1'!Q421-'Приложение №1'!R421-'Приложение №1'!S421</f>
        <v>0</v>
      </c>
      <c r="U421" s="64">
        <f t="shared" si="217"/>
        <v>845.60873905190715</v>
      </c>
      <c r="V421" s="64">
        <f t="shared" si="217"/>
        <v>845.60873905190715</v>
      </c>
      <c r="W421" s="126">
        <v>2023</v>
      </c>
      <c r="X421" s="127" t="e">
        <f>+#REF!-'[1]Приложение №1'!$P1395</f>
        <v>#REF!</v>
      </c>
      <c r="Z421" s="63">
        <f t="shared" si="235"/>
        <v>24082184.68</v>
      </c>
      <c r="AA421" s="64">
        <v>3459603.0948952204</v>
      </c>
      <c r="AB421" s="64">
        <v>1248096.36492156</v>
      </c>
      <c r="AC421" s="64">
        <v>1303954.6600395001</v>
      </c>
      <c r="AD421" s="64">
        <v>816386.97648732003</v>
      </c>
      <c r="AE421" s="64">
        <v>0</v>
      </c>
      <c r="AF421" s="64"/>
      <c r="AG421" s="64">
        <v>124822.049583</v>
      </c>
      <c r="AH421" s="64">
        <v>0</v>
      </c>
      <c r="AI421" s="64">
        <v>6403192.8421985991</v>
      </c>
      <c r="AJ421" s="64">
        <v>838109.10532439989</v>
      </c>
      <c r="AK421" s="64">
        <v>3324589.38292698</v>
      </c>
      <c r="AL421" s="64">
        <v>3585887.05339116</v>
      </c>
      <c r="AM421" s="64">
        <v>2275205.5373000004</v>
      </c>
      <c r="AN421" s="65">
        <v>240821.8468</v>
      </c>
      <c r="AO421" s="66">
        <v>461515.76613225997</v>
      </c>
      <c r="AP421" s="128">
        <f>+N421-'Приложение №2'!E430</f>
        <v>0</v>
      </c>
      <c r="AQ421" s="127">
        <f>513292.56-R151</f>
        <v>-128632.20000000001</v>
      </c>
      <c r="AR421" s="25">
        <f>+(K421*10+L421*20)*12*0.85</f>
        <v>128632.2</v>
      </c>
      <c r="AS421" s="25">
        <f>+(K421*10+L421*20)*12*30-S151</f>
        <v>3849750.0691816397</v>
      </c>
      <c r="AT421" s="127">
        <f t="shared" si="193"/>
        <v>-2783352.8883632794</v>
      </c>
      <c r="AU421" s="127">
        <f>+P421-'[6]Приложение №1'!$P370</f>
        <v>0</v>
      </c>
      <c r="AV421" s="127">
        <f>+Q421-'[6]Приложение №1'!$Q370</f>
        <v>0</v>
      </c>
      <c r="AW421" s="63">
        <f t="shared" si="186"/>
        <v>1066397.1808183601</v>
      </c>
      <c r="AX421" s="64"/>
      <c r="AY421" s="64"/>
      <c r="AZ421" s="64"/>
      <c r="BA421" s="64"/>
      <c r="BB421" s="64">
        <v>0</v>
      </c>
      <c r="BC421" s="64"/>
      <c r="BD421" s="64"/>
      <c r="BE421" s="64">
        <v>0</v>
      </c>
      <c r="BF421" s="64">
        <v>393320.57</v>
      </c>
      <c r="BG421" s="64"/>
      <c r="BH421" s="64"/>
      <c r="BI421" s="64">
        <v>406759.99</v>
      </c>
      <c r="BJ421" s="64"/>
      <c r="BK421" s="65"/>
      <c r="BL421" s="66">
        <v>266316.62081835995</v>
      </c>
    </row>
    <row r="422" spans="1:65" x14ac:dyDescent="0.25">
      <c r="A422" s="141">
        <f t="shared" si="214"/>
        <v>404</v>
      </c>
      <c r="B422" s="142">
        <f t="shared" si="215"/>
        <v>216</v>
      </c>
      <c r="C422" s="62" t="s">
        <v>45</v>
      </c>
      <c r="D422" s="62" t="s">
        <v>834</v>
      </c>
      <c r="E422" s="123">
        <v>1975</v>
      </c>
      <c r="F422" s="123">
        <v>1975</v>
      </c>
      <c r="G422" s="123" t="s">
        <v>43</v>
      </c>
      <c r="H422" s="123">
        <v>4</v>
      </c>
      <c r="I422" s="123">
        <v>1</v>
      </c>
      <c r="J422" s="64">
        <v>1425.2</v>
      </c>
      <c r="K422" s="64">
        <v>1131.8</v>
      </c>
      <c r="L422" s="64">
        <v>129.9</v>
      </c>
      <c r="M422" s="124">
        <v>56</v>
      </c>
      <c r="N422" s="63">
        <f t="shared" ref="N422" si="240">SUM(O422:T422)</f>
        <v>14608866.01621094</v>
      </c>
      <c r="O422" s="64"/>
      <c r="P422" s="65">
        <v>3367479.3183452347</v>
      </c>
      <c r="Q422" s="65"/>
      <c r="R422" s="65">
        <f t="shared" si="223"/>
        <v>724116.85</v>
      </c>
      <c r="S422" s="65">
        <f t="shared" ref="S422" si="241">+AS422</f>
        <v>5260247.9999999991</v>
      </c>
      <c r="T422" s="65">
        <f>+'Приложение №2'!E431-'Приложение №1'!P422-'Приложение №1'!R422-'Приложение №1'!S422</f>
        <v>5257021.8478657072</v>
      </c>
      <c r="U422" s="65">
        <f t="shared" ref="U422" si="242">N422/K422</f>
        <v>12907.639173185138</v>
      </c>
      <c r="V422" s="65">
        <v>1379.2830200640001</v>
      </c>
      <c r="W422" s="126">
        <v>2023</v>
      </c>
      <c r="X422" s="127" t="e">
        <f>+#REF!-'[1]Приложение №1'!$P1310</f>
        <v>#REF!</v>
      </c>
      <c r="Z422" s="63">
        <f t="shared" si="235"/>
        <v>23375883.600000001</v>
      </c>
      <c r="AA422" s="64">
        <v>3639720.4511280004</v>
      </c>
      <c r="AB422" s="64">
        <v>1310198.586234</v>
      </c>
      <c r="AC422" s="64">
        <v>1393886.8533300001</v>
      </c>
      <c r="AD422" s="64">
        <v>881139.78326399997</v>
      </c>
      <c r="AE422" s="64">
        <v>0</v>
      </c>
      <c r="AF422" s="64"/>
      <c r="AG422" s="64">
        <v>123633.848142</v>
      </c>
      <c r="AH422" s="64">
        <v>0</v>
      </c>
      <c r="AI422" s="64">
        <v>6816774.9733499996</v>
      </c>
      <c r="AJ422" s="64">
        <v>840779.69661599991</v>
      </c>
      <c r="AK422" s="64">
        <v>3546979.2826500004</v>
      </c>
      <c r="AL422" s="64">
        <v>3815904.5950200004</v>
      </c>
      <c r="AM422" s="64">
        <v>455993.49</v>
      </c>
      <c r="AN422" s="64">
        <v>61706.92</v>
      </c>
      <c r="AO422" s="66">
        <v>489165.12026600004</v>
      </c>
      <c r="AP422" s="128">
        <f>+N422-'Приложение №2'!E431</f>
        <v>0</v>
      </c>
      <c r="AQ422" s="38">
        <v>575076.49</v>
      </c>
      <c r="AR422" s="25">
        <f t="shared" ref="AR422" si="243">+(K422*10.5+L422*21)*12*0.85</f>
        <v>149040.35999999999</v>
      </c>
      <c r="AS422" s="25">
        <f t="shared" ref="AS422" si="244">+(K422*10.5+L422*21)*12*30</f>
        <v>5260247.9999999991</v>
      </c>
      <c r="AT422" s="127">
        <f t="shared" si="193"/>
        <v>0</v>
      </c>
      <c r="AU422" s="127">
        <f>+P422-'[6]Приложение №1'!$P411</f>
        <v>1982625.7350119017</v>
      </c>
      <c r="AV422" s="127">
        <f>+Q422-'[6]Приложение №1'!$Q411</f>
        <v>0</v>
      </c>
      <c r="AW422" s="88">
        <f t="shared" si="186"/>
        <v>14608866.01621094</v>
      </c>
      <c r="AX422" s="64"/>
      <c r="AY422" s="64">
        <v>1310198.586234</v>
      </c>
      <c r="AZ422" s="64">
        <v>1393886.8533300001</v>
      </c>
      <c r="BA422" s="64">
        <v>881139.78326399997</v>
      </c>
      <c r="BB422" s="64">
        <v>0</v>
      </c>
      <c r="BC422" s="64"/>
      <c r="BD422" s="64"/>
      <c r="BE422" s="64">
        <v>0</v>
      </c>
      <c r="BF422" s="64">
        <v>6816774.9733499996</v>
      </c>
      <c r="BG422" s="64"/>
      <c r="BH422" s="64"/>
      <c r="BI422" s="64">
        <v>3815904.5950200004</v>
      </c>
      <c r="BJ422" s="64"/>
      <c r="BK422" s="64"/>
      <c r="BL422" s="66">
        <v>390961.22501294001</v>
      </c>
    </row>
    <row r="423" spans="1:65" x14ac:dyDescent="0.25">
      <c r="A423" s="141">
        <f t="shared" si="214"/>
        <v>405</v>
      </c>
      <c r="B423" s="142">
        <f t="shared" si="215"/>
        <v>217</v>
      </c>
      <c r="C423" s="62" t="s">
        <v>45</v>
      </c>
      <c r="D423" s="62" t="s">
        <v>818</v>
      </c>
      <c r="E423" s="123">
        <v>1962</v>
      </c>
      <c r="F423" s="123">
        <v>1962</v>
      </c>
      <c r="G423" s="123" t="s">
        <v>43</v>
      </c>
      <c r="H423" s="123">
        <v>3</v>
      </c>
      <c r="I423" s="123">
        <v>2</v>
      </c>
      <c r="J423" s="64">
        <v>937.1</v>
      </c>
      <c r="K423" s="64">
        <v>723.7</v>
      </c>
      <c r="L423" s="64">
        <v>213.4</v>
      </c>
      <c r="M423" s="124">
        <v>26</v>
      </c>
      <c r="N423" s="95">
        <f t="shared" si="179"/>
        <v>9979408.1082480028</v>
      </c>
      <c r="O423" s="64"/>
      <c r="P423" s="65"/>
      <c r="Q423" s="65"/>
      <c r="R423" s="65">
        <f t="shared" si="223"/>
        <v>218510.12</v>
      </c>
      <c r="S423" s="65">
        <f>+AS423</f>
        <v>3249806.9578032</v>
      </c>
      <c r="T423" s="65">
        <f>+'Приложение №2'!E432-'Приложение №1'!P423-'Приложение №1'!Q423-'Приложение №1'!R423-'Приложение №1'!S423</f>
        <v>6511091.0304448018</v>
      </c>
      <c r="U423" s="64">
        <f t="shared" si="217"/>
        <v>10649.245660279588</v>
      </c>
      <c r="V423" s="64">
        <f t="shared" si="217"/>
        <v>10649.245660279588</v>
      </c>
      <c r="W423" s="126">
        <v>2023</v>
      </c>
      <c r="X423" s="127" t="e">
        <f>+#REF!-'[1]Приложение №1'!$P1396</f>
        <v>#REF!</v>
      </c>
      <c r="Z423" s="63">
        <f t="shared" si="235"/>
        <v>26675784</v>
      </c>
      <c r="AA423" s="64">
        <v>2404073.9634912</v>
      </c>
      <c r="AB423" s="64">
        <v>1462843.1901888</v>
      </c>
      <c r="AC423" s="64">
        <v>689312.71110239998</v>
      </c>
      <c r="AD423" s="64">
        <v>587431.31489280006</v>
      </c>
      <c r="AE423" s="64">
        <v>0</v>
      </c>
      <c r="AF423" s="64"/>
      <c r="AG423" s="64">
        <v>227878.8628032</v>
      </c>
      <c r="AH423" s="64">
        <v>0</v>
      </c>
      <c r="AI423" s="64">
        <v>6954572.4655679995</v>
      </c>
      <c r="AJ423" s="64">
        <v>0</v>
      </c>
      <c r="AK423" s="64">
        <v>5686511.6200032001</v>
      </c>
      <c r="AL423" s="64">
        <v>5351302.3282992002</v>
      </c>
      <c r="AM423" s="64">
        <v>2534177.952</v>
      </c>
      <c r="AN423" s="65">
        <v>266757.84000000003</v>
      </c>
      <c r="AO423" s="66">
        <v>510921.75165120006</v>
      </c>
      <c r="AP423" s="128">
        <f>+N423-'Приложение №2'!E432</f>
        <v>0</v>
      </c>
      <c r="AQ423" s="127">
        <f>294416.56-R152</f>
        <v>101159.12</v>
      </c>
      <c r="AR423" s="25">
        <f>+(K423*10+L423*20)*12*0.85</f>
        <v>117351</v>
      </c>
      <c r="AS423" s="25">
        <f>+(K423*10+L423*20)*12*30-S152</f>
        <v>3249806.9578032</v>
      </c>
      <c r="AT423" s="127">
        <f t="shared" si="193"/>
        <v>0</v>
      </c>
      <c r="AU423" s="127">
        <f>+P423-'[6]Приложение №1'!$P371</f>
        <v>0</v>
      </c>
      <c r="AV423" s="127">
        <f>+Q423-'[6]Приложение №1'!$Q371</f>
        <v>0</v>
      </c>
      <c r="AW423" s="63">
        <f t="shared" si="186"/>
        <v>9979408.108248001</v>
      </c>
      <c r="AX423" s="64"/>
      <c r="AY423" s="64"/>
      <c r="AZ423" s="64"/>
      <c r="BA423" s="64"/>
      <c r="BB423" s="64">
        <v>0</v>
      </c>
      <c r="BC423" s="64"/>
      <c r="BD423" s="64"/>
      <c r="BE423" s="64">
        <v>0</v>
      </c>
      <c r="BF423" s="64"/>
      <c r="BG423" s="64">
        <v>0</v>
      </c>
      <c r="BH423" s="64">
        <v>8231571.6100000003</v>
      </c>
      <c r="BI423" s="64">
        <v>1428913.34</v>
      </c>
      <c r="BJ423" s="64"/>
      <c r="BK423" s="65"/>
      <c r="BL423" s="66">
        <v>318923.15824800002</v>
      </c>
    </row>
    <row r="424" spans="1:65" x14ac:dyDescent="0.25">
      <c r="A424" s="141">
        <f t="shared" si="214"/>
        <v>406</v>
      </c>
      <c r="B424" s="142">
        <f t="shared" si="215"/>
        <v>218</v>
      </c>
      <c r="C424" s="62" t="s">
        <v>45</v>
      </c>
      <c r="D424" s="62" t="s">
        <v>828</v>
      </c>
      <c r="E424" s="123">
        <v>1973</v>
      </c>
      <c r="F424" s="123">
        <v>1973</v>
      </c>
      <c r="G424" s="123" t="s">
        <v>43</v>
      </c>
      <c r="H424" s="123">
        <v>4</v>
      </c>
      <c r="I424" s="123">
        <v>1</v>
      </c>
      <c r="J424" s="64">
        <v>1419.3</v>
      </c>
      <c r="K424" s="64">
        <v>1084.2</v>
      </c>
      <c r="L424" s="64">
        <v>165.8</v>
      </c>
      <c r="M424" s="124">
        <v>48</v>
      </c>
      <c r="N424" s="63">
        <f t="shared" ref="N424" si="245">SUM(O424:T424)</f>
        <v>12374875.082309499</v>
      </c>
      <c r="O424" s="64"/>
      <c r="P424" s="65">
        <v>3168000.6575000002</v>
      </c>
      <c r="Q424" s="65"/>
      <c r="R424" s="65">
        <f t="shared" si="223"/>
        <v>829165.08000000007</v>
      </c>
      <c r="S424" s="65">
        <f t="shared" ref="S424" si="246">+AS424</f>
        <v>5351724.0000000009</v>
      </c>
      <c r="T424" s="65">
        <f>+'Приложение №2'!E433-'Приложение №1'!P424-'Приложение №1'!Q424-'Приложение №1'!R424-'Приложение №1'!S424</f>
        <v>3025985.3448094996</v>
      </c>
      <c r="U424" s="65">
        <f t="shared" ref="U424" si="247">N424/K424</f>
        <v>11413.830549999539</v>
      </c>
      <c r="V424" s="65">
        <v>1373.2830200640001</v>
      </c>
      <c r="W424" s="126">
        <v>2023</v>
      </c>
      <c r="X424" s="127" t="e">
        <f>+#REF!-'[1]Приложение №1'!$P897</f>
        <v>#REF!</v>
      </c>
      <c r="Z424" s="63">
        <f t="shared" si="235"/>
        <v>23254292.520000007</v>
      </c>
      <c r="AA424" s="64">
        <v>3340669.60738602</v>
      </c>
      <c r="AB424" s="64">
        <v>1205189.5738415401</v>
      </c>
      <c r="AC424" s="64">
        <v>1259127.5895802802</v>
      </c>
      <c r="AD424" s="64">
        <v>788321.39941547997</v>
      </c>
      <c r="AE424" s="64">
        <v>0</v>
      </c>
      <c r="AF424" s="64"/>
      <c r="AG424" s="64">
        <v>120530.94592896002</v>
      </c>
      <c r="AH424" s="64">
        <v>0</v>
      </c>
      <c r="AI424" s="64">
        <v>6183065.2576392004</v>
      </c>
      <c r="AJ424" s="64">
        <v>809296.77121649997</v>
      </c>
      <c r="AK424" s="64">
        <v>3210297.3642940195</v>
      </c>
      <c r="AL424" s="64">
        <v>3462612.1981025399</v>
      </c>
      <c r="AM424" s="64">
        <v>2196989.0109000001</v>
      </c>
      <c r="AN424" s="65">
        <v>232542.92520000003</v>
      </c>
      <c r="AO424" s="66">
        <v>445649.87649546011</v>
      </c>
      <c r="AP424" s="128">
        <f>+N424-'Приложение №2'!E433</f>
        <v>0</v>
      </c>
      <c r="AQ424" s="38">
        <v>677532.9</v>
      </c>
      <c r="AR424" s="25">
        <f t="shared" ref="AR424" si="248">+(K424*10.5+L424*21)*12*0.85</f>
        <v>151632.18000000002</v>
      </c>
      <c r="AS424" s="25">
        <f t="shared" ref="AS424" si="249">+(K424*10.5+L424*21)*12*30</f>
        <v>5351724.0000000009</v>
      </c>
      <c r="AT424" s="127">
        <f t="shared" si="193"/>
        <v>0</v>
      </c>
      <c r="AU424" s="127">
        <f>+P424-'[6]Приложение №1'!$P371</f>
        <v>3168000.6575000002</v>
      </c>
      <c r="AV424" s="127">
        <f>+Q424-'[6]Приложение №1'!$Q371</f>
        <v>0</v>
      </c>
      <c r="AW424" s="88">
        <f t="shared" si="186"/>
        <v>12374875.082309501</v>
      </c>
      <c r="AX424" s="64"/>
      <c r="AY424" s="64"/>
      <c r="AZ424" s="64">
        <v>1387071.4761120002</v>
      </c>
      <c r="BA424" s="64"/>
      <c r="BB424" s="64">
        <v>0</v>
      </c>
      <c r="BC424" s="64"/>
      <c r="BD424" s="64"/>
      <c r="BE424" s="64">
        <v>0</v>
      </c>
      <c r="BF424" s="64">
        <v>6781012.0992600005</v>
      </c>
      <c r="BG424" s="64">
        <v>0</v>
      </c>
      <c r="BH424" s="64">
        <v>0</v>
      </c>
      <c r="BI424" s="64">
        <v>3817342.0312019996</v>
      </c>
      <c r="BJ424" s="64"/>
      <c r="BK424" s="65"/>
      <c r="BL424" s="66">
        <v>389449.47573549999</v>
      </c>
      <c r="BM424" s="25"/>
    </row>
    <row r="425" spans="1:65" x14ac:dyDescent="0.25">
      <c r="A425" s="141">
        <f t="shared" si="214"/>
        <v>407</v>
      </c>
      <c r="B425" s="142">
        <f t="shared" si="215"/>
        <v>219</v>
      </c>
      <c r="C425" s="62" t="s">
        <v>46</v>
      </c>
      <c r="D425" s="62" t="s">
        <v>853</v>
      </c>
      <c r="E425" s="123">
        <v>1994</v>
      </c>
      <c r="F425" s="123">
        <v>2015</v>
      </c>
      <c r="G425" s="123" t="s">
        <v>43</v>
      </c>
      <c r="H425" s="123">
        <v>9</v>
      </c>
      <c r="I425" s="123">
        <v>4</v>
      </c>
      <c r="J425" s="64">
        <v>9059.2999999999993</v>
      </c>
      <c r="K425" s="64">
        <v>7958.2</v>
      </c>
      <c r="L425" s="64">
        <v>49</v>
      </c>
      <c r="M425" s="124">
        <v>376</v>
      </c>
      <c r="N425" s="63">
        <f t="shared" ref="N425" si="250">SUM(O425:T425)</f>
        <v>89595388.453943789</v>
      </c>
      <c r="O425" s="64"/>
      <c r="P425" s="65">
        <v>13429137.210000001</v>
      </c>
      <c r="Q425" s="65"/>
      <c r="R425" s="65">
        <v>2877672.2600000002</v>
      </c>
      <c r="S425" s="65">
        <v>25899050.330000002</v>
      </c>
      <c r="T425" s="65">
        <f>+'Приложение №2'!E434-'Приложение №1'!P425-'Приложение №1'!Q425-'Приложение №1'!R425-'Приложение №1'!S425</f>
        <v>47389528.653943777</v>
      </c>
      <c r="U425" s="65">
        <f t="shared" ref="U425" si="251">N425/K425</f>
        <v>11258.247902031086</v>
      </c>
      <c r="V425" s="65">
        <v>1384.2830200640001</v>
      </c>
      <c r="W425" s="126">
        <v>2023</v>
      </c>
      <c r="X425" s="127" t="e">
        <f>+#REF!-'[1]Приложение №1'!$P571</f>
        <v>#REF!</v>
      </c>
      <c r="Z425" s="63">
        <f t="shared" si="235"/>
        <v>167033614.96000001</v>
      </c>
      <c r="AA425" s="64">
        <v>18497723.436858121</v>
      </c>
      <c r="AB425" s="64">
        <v>12695079.720886501</v>
      </c>
      <c r="AC425" s="64">
        <v>7727724.5646585599</v>
      </c>
      <c r="AD425" s="64">
        <v>6972228.5386101594</v>
      </c>
      <c r="AE425" s="64">
        <v>0</v>
      </c>
      <c r="AF425" s="64"/>
      <c r="AG425" s="64">
        <v>889888.98620159982</v>
      </c>
      <c r="AH425" s="64">
        <v>0</v>
      </c>
      <c r="AI425" s="64">
        <v>0</v>
      </c>
      <c r="AJ425" s="64">
        <v>0</v>
      </c>
      <c r="AK425" s="64">
        <v>78339424.591046214</v>
      </c>
      <c r="AL425" s="64">
        <v>20601575.841979437</v>
      </c>
      <c r="AM425" s="64">
        <v>16452952.139400002</v>
      </c>
      <c r="AN425" s="65">
        <v>1670336.1496000004</v>
      </c>
      <c r="AO425" s="66">
        <v>3186680.9907594007</v>
      </c>
      <c r="AP425" s="128">
        <f>+N425-'Приложение №2'!E434</f>
        <v>0</v>
      </c>
      <c r="AQ425" s="38">
        <f>5650783.47-5939473.29</f>
        <v>-288689.8200000003</v>
      </c>
      <c r="AR425" s="25">
        <f t="shared" ref="AR425" si="252">+(K425*13.95+L425*23.65)*12*0.85</f>
        <v>1144192.548</v>
      </c>
      <c r="AS425" s="25">
        <f>+(K425*13.95+L425*23.65)*12*30</f>
        <v>40383266.399999999</v>
      </c>
      <c r="AT425" s="127">
        <f t="shared" si="193"/>
        <v>-14484216.069999997</v>
      </c>
      <c r="AU425" s="127">
        <f>+P425-'[6]Приложение №1'!$P414</f>
        <v>13429137.210000001</v>
      </c>
      <c r="AV425" s="127">
        <f>+Q425-'[6]Приложение №1'!$Q414</f>
        <v>0</v>
      </c>
      <c r="AW425" s="88">
        <f t="shared" si="186"/>
        <v>89595388.453943774</v>
      </c>
      <c r="AX425" s="64"/>
      <c r="AY425" s="64"/>
      <c r="AZ425" s="64">
        <v>7735463.9302031901</v>
      </c>
      <c r="BA425" s="64"/>
      <c r="BB425" s="64">
        <v>0</v>
      </c>
      <c r="BC425" s="64"/>
      <c r="BD425" s="64"/>
      <c r="BE425" s="64"/>
      <c r="BF425" s="64">
        <v>0</v>
      </c>
      <c r="BG425" s="64">
        <v>0</v>
      </c>
      <c r="BH425" s="64">
        <v>78603849.219999999</v>
      </c>
      <c r="BI425" s="64">
        <v>0</v>
      </c>
      <c r="BJ425" s="64">
        <v>256263</v>
      </c>
      <c r="BK425" s="65">
        <v>85421</v>
      </c>
      <c r="BL425" s="66">
        <v>2914391.3037405843</v>
      </c>
    </row>
    <row r="426" spans="1:65" x14ac:dyDescent="0.25">
      <c r="A426" s="141">
        <f t="shared" si="214"/>
        <v>408</v>
      </c>
      <c r="B426" s="142">
        <f t="shared" si="215"/>
        <v>220</v>
      </c>
      <c r="C426" s="62" t="s">
        <v>46</v>
      </c>
      <c r="D426" s="62" t="s">
        <v>1054</v>
      </c>
      <c r="E426" s="123">
        <v>1989</v>
      </c>
      <c r="F426" s="123">
        <v>2014</v>
      </c>
      <c r="G426" s="123" t="s">
        <v>43</v>
      </c>
      <c r="H426" s="123">
        <v>9</v>
      </c>
      <c r="I426" s="123">
        <v>3</v>
      </c>
      <c r="J426" s="64">
        <v>6626.1</v>
      </c>
      <c r="K426" s="64">
        <v>6102.5</v>
      </c>
      <c r="L426" s="64">
        <v>67.8</v>
      </c>
      <c r="M426" s="124">
        <v>265</v>
      </c>
      <c r="N426" s="95">
        <f t="shared" si="179"/>
        <v>23521550.178977139</v>
      </c>
      <c r="O426" s="64"/>
      <c r="P426" s="65">
        <v>9534672.4600000009</v>
      </c>
      <c r="Q426" s="65"/>
      <c r="R426" s="65">
        <f t="shared" ref="R426:R429" si="253">+AQ426+AR426</f>
        <v>3009205.0962</v>
      </c>
      <c r="S426" s="65">
        <f>+AS426</f>
        <v>0</v>
      </c>
      <c r="T426" s="65">
        <f>+'Приложение №2'!E435-'Приложение №1'!P426-'Приложение №1'!Q426-'Приложение №1'!R426-'Приложение №1'!S426</f>
        <v>10977672.622777138</v>
      </c>
      <c r="U426" s="64">
        <f t="shared" si="217"/>
        <v>3812.0594102356672</v>
      </c>
      <c r="V426" s="64">
        <f t="shared" si="217"/>
        <v>3812.0594102356672</v>
      </c>
      <c r="W426" s="126">
        <v>2023</v>
      </c>
      <c r="X426" s="127" t="e">
        <f>+#REF!-'[1]Приложение №1'!$P1188</f>
        <v>#REF!</v>
      </c>
      <c r="Z426" s="63">
        <f t="shared" si="235"/>
        <v>133828117.44000001</v>
      </c>
      <c r="AA426" s="64">
        <v>13963940.488183141</v>
      </c>
      <c r="AB426" s="64">
        <v>9583521.8977096211</v>
      </c>
      <c r="AC426" s="64">
        <v>5833663.0608244799</v>
      </c>
      <c r="AD426" s="64">
        <v>5263338.7413885603</v>
      </c>
      <c r="AE426" s="64">
        <v>0</v>
      </c>
      <c r="AF426" s="64"/>
      <c r="AG426" s="64">
        <v>671777.63177280012</v>
      </c>
      <c r="AH426" s="64">
        <v>0</v>
      </c>
      <c r="AI426" s="64">
        <v>6811959.9181410009</v>
      </c>
      <c r="AJ426" s="64">
        <v>0</v>
      </c>
      <c r="AK426" s="64">
        <v>59138470.018736638</v>
      </c>
      <c r="AL426" s="64">
        <v>15552139.69889202</v>
      </c>
      <c r="AM426" s="64">
        <v>13116434.001499999</v>
      </c>
      <c r="AN426" s="65">
        <v>1338281.1743999999</v>
      </c>
      <c r="AO426" s="66">
        <v>2554590.8084517401</v>
      </c>
      <c r="AP426" s="128">
        <f>+N426-'Приложение №2'!E435</f>
        <v>0</v>
      </c>
      <c r="AQ426" s="38">
        <f>3444334.74-R154</f>
        <v>2166388.4700000002</v>
      </c>
      <c r="AR426" s="25">
        <f>+(K426*13.29+L426*22.52)*12*0.85</f>
        <v>842816.62619999982</v>
      </c>
      <c r="AS426" s="25">
        <f>+(K426*13.29+L426*22.52)*12*30-S154</f>
        <v>0</v>
      </c>
      <c r="AT426" s="127">
        <f t="shared" si="193"/>
        <v>0</v>
      </c>
      <c r="AU426" s="127">
        <f>+P426-'[6]Приложение №1'!$P376</f>
        <v>-10988104.770000003</v>
      </c>
      <c r="AV426" s="127">
        <f>+Q426-'[6]Приложение №1'!$Q376</f>
        <v>0</v>
      </c>
      <c r="AW426" s="63">
        <f t="shared" si="186"/>
        <v>23521550.178977139</v>
      </c>
      <c r="AX426" s="64">
        <v>13963940.488183141</v>
      </c>
      <c r="AY426" s="71"/>
      <c r="AZ426" s="71"/>
      <c r="BA426" s="64">
        <v>6043467.3980940003</v>
      </c>
      <c r="BB426" s="64">
        <v>0</v>
      </c>
      <c r="BC426" s="64"/>
      <c r="BD426" s="64">
        <v>671777.63177280012</v>
      </c>
      <c r="BE426" s="64">
        <v>0</v>
      </c>
      <c r="BF426" s="71"/>
      <c r="BG426" s="64">
        <v>0</v>
      </c>
      <c r="BH426" s="64"/>
      <c r="BI426" s="64"/>
      <c r="BJ426" s="64"/>
      <c r="BK426" s="65"/>
      <c r="BL426" s="66">
        <v>2842364.6609271998</v>
      </c>
    </row>
    <row r="427" spans="1:65" x14ac:dyDescent="0.25">
      <c r="A427" s="141">
        <f t="shared" si="214"/>
        <v>409</v>
      </c>
      <c r="B427" s="142">
        <f t="shared" si="215"/>
        <v>221</v>
      </c>
      <c r="C427" s="62" t="s">
        <v>46</v>
      </c>
      <c r="D427" s="62" t="s">
        <v>1101</v>
      </c>
      <c r="E427" s="123">
        <v>1993</v>
      </c>
      <c r="F427" s="123">
        <v>2009</v>
      </c>
      <c r="G427" s="123" t="s">
        <v>43</v>
      </c>
      <c r="H427" s="123">
        <v>9</v>
      </c>
      <c r="I427" s="123">
        <v>1</v>
      </c>
      <c r="J427" s="64">
        <v>2345</v>
      </c>
      <c r="K427" s="64">
        <v>1959.1</v>
      </c>
      <c r="L427" s="64">
        <v>0</v>
      </c>
      <c r="M427" s="124">
        <v>80</v>
      </c>
      <c r="N427" s="63">
        <f t="shared" ref="N427" si="254">SUM(O427:T427)</f>
        <v>5670694.3393124007</v>
      </c>
      <c r="O427" s="64"/>
      <c r="P427" s="65"/>
      <c r="Q427" s="65"/>
      <c r="R427" s="65">
        <f t="shared" si="253"/>
        <v>1719990.9989999998</v>
      </c>
      <c r="S427" s="65">
        <f>+'Приложение №2'!E436-'Приложение №1'!R427</f>
        <v>3950703.3403124008</v>
      </c>
      <c r="T427" s="65">
        <f>+'Приложение №2'!E436-'Приложение №1'!P427-'Приложение №1'!R427-'Приложение №1'!S427</f>
        <v>0</v>
      </c>
      <c r="U427" s="65">
        <f t="shared" ref="U427" si="255">N427/K427</f>
        <v>2894.5405233588899</v>
      </c>
      <c r="V427" s="65">
        <v>1394.2830200640001</v>
      </c>
      <c r="W427" s="126">
        <v>2023</v>
      </c>
      <c r="X427" s="127" t="e">
        <f>+#REF!-'[1]Приложение №1'!$P1346</f>
        <v>#REF!</v>
      </c>
      <c r="Z427" s="63">
        <f t="shared" si="235"/>
        <v>41352125.810000002</v>
      </c>
      <c r="AA427" s="64">
        <v>4542107.7549229199</v>
      </c>
      <c r="AB427" s="64">
        <v>3117271.1769024003</v>
      </c>
      <c r="AC427" s="64">
        <v>0</v>
      </c>
      <c r="AD427" s="64">
        <v>1712027.61216396</v>
      </c>
      <c r="AE427" s="64">
        <v>0</v>
      </c>
      <c r="AF427" s="64"/>
      <c r="AG427" s="64">
        <v>218511.8445216</v>
      </c>
      <c r="AH427" s="64">
        <v>0</v>
      </c>
      <c r="AI427" s="64">
        <v>2215753.9253135999</v>
      </c>
      <c r="AJ427" s="64">
        <v>0</v>
      </c>
      <c r="AK427" s="64">
        <v>19236210.842486817</v>
      </c>
      <c r="AL427" s="64">
        <v>5058707.7793799406</v>
      </c>
      <c r="AM427" s="64">
        <v>4048566.8085000003</v>
      </c>
      <c r="AN427" s="65">
        <v>413521.25809999998</v>
      </c>
      <c r="AO427" s="66">
        <v>789446.80770875991</v>
      </c>
      <c r="AP427" s="128">
        <f>+N427-'Приложение №2'!E436</f>
        <v>0</v>
      </c>
      <c r="AQ427" s="38">
        <v>1441230.66</v>
      </c>
      <c r="AR427" s="25">
        <f>+(K427*13.95+L427*23.65)*12*0.85</f>
        <v>278760.33899999998</v>
      </c>
      <c r="AS427" s="25">
        <f>+(K427*13.95+L427*23.65)*12*30</f>
        <v>9838600.1999999993</v>
      </c>
      <c r="AT427" s="127">
        <f t="shared" si="193"/>
        <v>-5887896.8596875984</v>
      </c>
      <c r="AU427" s="127">
        <f>+P427-'[6]Приложение №1'!$P417</f>
        <v>-686514.50749999983</v>
      </c>
      <c r="AV427" s="127">
        <f>+Q427-'[6]Приложение №1'!$Q417</f>
        <v>0</v>
      </c>
      <c r="AW427" s="88">
        <f t="shared" si="186"/>
        <v>5670694.3393124007</v>
      </c>
      <c r="AX427" s="64"/>
      <c r="AY427" s="64">
        <v>3409820.697402</v>
      </c>
      <c r="AZ427" s="64">
        <v>0</v>
      </c>
      <c r="BA427" s="64">
        <v>1911644.1932280001</v>
      </c>
      <c r="BB427" s="64">
        <v>0</v>
      </c>
      <c r="BC427" s="64"/>
      <c r="BD427" s="64"/>
      <c r="BE427" s="64">
        <v>0</v>
      </c>
      <c r="BF427" s="64"/>
      <c r="BG427" s="64"/>
      <c r="BH427" s="64"/>
      <c r="BI427" s="64"/>
      <c r="BJ427" s="64"/>
      <c r="BK427" s="65"/>
      <c r="BL427" s="66">
        <v>349229.44868240005</v>
      </c>
    </row>
    <row r="428" spans="1:65" x14ac:dyDescent="0.25">
      <c r="A428" s="141">
        <f t="shared" si="214"/>
        <v>410</v>
      </c>
      <c r="B428" s="142">
        <f t="shared" si="215"/>
        <v>222</v>
      </c>
      <c r="C428" s="62" t="s">
        <v>46</v>
      </c>
      <c r="D428" s="62" t="s">
        <v>277</v>
      </c>
      <c r="E428" s="123">
        <v>1970</v>
      </c>
      <c r="F428" s="123">
        <v>2015</v>
      </c>
      <c r="G428" s="123" t="s">
        <v>43</v>
      </c>
      <c r="H428" s="123">
        <v>4</v>
      </c>
      <c r="I428" s="123">
        <v>3</v>
      </c>
      <c r="J428" s="64">
        <v>2337.1999999999998</v>
      </c>
      <c r="K428" s="64">
        <v>1988.4</v>
      </c>
      <c r="L428" s="64">
        <v>46.7</v>
      </c>
      <c r="M428" s="124">
        <v>101</v>
      </c>
      <c r="N428" s="95">
        <f t="shared" ref="N428:N457" si="256">+P428+Q428+R428+S428+T428</f>
        <v>21526754.1008</v>
      </c>
      <c r="O428" s="64"/>
      <c r="P428" s="65">
        <v>5180548.3166666673</v>
      </c>
      <c r="Q428" s="65"/>
      <c r="R428" s="65">
        <f t="shared" si="253"/>
        <v>1173314.25</v>
      </c>
      <c r="S428" s="65">
        <f>+AS428</f>
        <v>7494480</v>
      </c>
      <c r="T428" s="65">
        <f>+'Приложение №2'!E437-'Приложение №1'!P428-'Приложение №1'!Q428-'Приложение №1'!R428-'Приложение №1'!S428</f>
        <v>7678411.5341333337</v>
      </c>
      <c r="U428" s="64">
        <f t="shared" ref="U428:V430" si="257">$N428/($K428+$L428)</f>
        <v>10577.737752837698</v>
      </c>
      <c r="V428" s="64">
        <f t="shared" si="257"/>
        <v>10577.737752837698</v>
      </c>
      <c r="W428" s="126">
        <v>2023</v>
      </c>
      <c r="X428" s="127" t="e">
        <f>+#REF!-'[1]Приложение №1'!$P1606</f>
        <v>#REF!</v>
      </c>
      <c r="Z428" s="63">
        <f t="shared" si="235"/>
        <v>25877715.080000002</v>
      </c>
      <c r="AA428" s="64">
        <v>5829165.7651718399</v>
      </c>
      <c r="AB428" s="64">
        <v>2137570.6530305399</v>
      </c>
      <c r="AC428" s="64">
        <v>2233259.7213103799</v>
      </c>
      <c r="AD428" s="64">
        <v>1398188.1572114399</v>
      </c>
      <c r="AE428" s="64">
        <v>0</v>
      </c>
      <c r="AF428" s="64"/>
      <c r="AG428" s="64">
        <v>192437.14870883999</v>
      </c>
      <c r="AH428" s="64">
        <v>0</v>
      </c>
      <c r="AI428" s="64">
        <v>10966540.7948166</v>
      </c>
      <c r="AJ428" s="64">
        <v>0</v>
      </c>
      <c r="AK428" s="64">
        <v>0</v>
      </c>
      <c r="AL428" s="64">
        <v>0</v>
      </c>
      <c r="AM428" s="64">
        <v>2364122.6418000003</v>
      </c>
      <c r="AN428" s="65">
        <v>258777.15079999997</v>
      </c>
      <c r="AO428" s="66">
        <v>497653.04715035995</v>
      </c>
      <c r="AP428" s="128">
        <f>+N428-'Приложение №2'!E437</f>
        <v>0</v>
      </c>
      <c r="AQ428" s="23">
        <v>960970.65</v>
      </c>
      <c r="AR428" s="25">
        <f t="shared" ref="AR428:AR429" si="258">+(K428*10+L428*20)*12*0.85</f>
        <v>212343.6</v>
      </c>
      <c r="AS428" s="25">
        <f t="shared" ref="AS428:AS429" si="259">+(K428*10+L428*20)*12*30</f>
        <v>7494480</v>
      </c>
      <c r="AT428" s="127">
        <f t="shared" si="193"/>
        <v>0</v>
      </c>
      <c r="AU428" s="127">
        <f>+P428-'[6]Приложение №1'!$P387</f>
        <v>0</v>
      </c>
      <c r="AV428" s="127">
        <f>+Q428-'[6]Приложение №1'!$Q387</f>
        <v>0</v>
      </c>
      <c r="AW428" s="63">
        <f t="shared" si="186"/>
        <v>21526754.1008</v>
      </c>
      <c r="AX428" s="64">
        <v>6351405.7500179997</v>
      </c>
      <c r="AY428" s="64">
        <v>2342376.7642799998</v>
      </c>
      <c r="AZ428" s="64"/>
      <c r="BA428" s="64"/>
      <c r="BB428" s="64">
        <v>0</v>
      </c>
      <c r="BC428" s="64"/>
      <c r="BD428" s="64">
        <v>192437.14870883999</v>
      </c>
      <c r="BE428" s="64">
        <v>0</v>
      </c>
      <c r="BF428" s="64">
        <v>12126879.564995999</v>
      </c>
      <c r="BG428" s="64">
        <v>0</v>
      </c>
      <c r="BH428" s="64">
        <v>0</v>
      </c>
      <c r="BI428" s="64">
        <v>0</v>
      </c>
      <c r="BJ428" s="64"/>
      <c r="BK428" s="65"/>
      <c r="BL428" s="66">
        <v>513654.87279715994</v>
      </c>
    </row>
    <row r="429" spans="1:65" x14ac:dyDescent="0.25">
      <c r="A429" s="141">
        <f t="shared" si="214"/>
        <v>411</v>
      </c>
      <c r="B429" s="142">
        <f t="shared" si="215"/>
        <v>223</v>
      </c>
      <c r="C429" s="62" t="s">
        <v>46</v>
      </c>
      <c r="D429" s="62" t="s">
        <v>844</v>
      </c>
      <c r="E429" s="123">
        <v>1971</v>
      </c>
      <c r="F429" s="123">
        <v>2017</v>
      </c>
      <c r="G429" s="123" t="s">
        <v>43</v>
      </c>
      <c r="H429" s="123">
        <v>4</v>
      </c>
      <c r="I429" s="123">
        <v>3</v>
      </c>
      <c r="J429" s="64">
        <v>2241.3000000000002</v>
      </c>
      <c r="K429" s="64">
        <v>1923.5</v>
      </c>
      <c r="L429" s="64">
        <v>103.1</v>
      </c>
      <c r="M429" s="124">
        <v>95</v>
      </c>
      <c r="N429" s="95">
        <f t="shared" si="256"/>
        <v>3110187.22</v>
      </c>
      <c r="O429" s="64"/>
      <c r="P429" s="65"/>
      <c r="Q429" s="65"/>
      <c r="R429" s="65">
        <f t="shared" si="253"/>
        <v>1168598.31</v>
      </c>
      <c r="S429" s="65">
        <f>+'Приложение №2'!E438-'Приложение №1'!R429</f>
        <v>1941588.9100000001</v>
      </c>
      <c r="T429" s="65">
        <v>0</v>
      </c>
      <c r="U429" s="64">
        <f t="shared" si="257"/>
        <v>1534.6823349452286</v>
      </c>
      <c r="V429" s="64">
        <f t="shared" si="257"/>
        <v>1534.6823349452286</v>
      </c>
      <c r="W429" s="126">
        <v>2023</v>
      </c>
      <c r="X429" s="127" t="e">
        <f>+#REF!-'[1]Приложение №1'!$P1617</f>
        <v>#REF!</v>
      </c>
      <c r="Z429" s="63">
        <f t="shared" si="235"/>
        <v>3150457</v>
      </c>
      <c r="AA429" s="64">
        <v>0</v>
      </c>
      <c r="AB429" s="64">
        <v>0</v>
      </c>
      <c r="AC429" s="64">
        <v>2743903.125978</v>
      </c>
      <c r="AD429" s="64">
        <v>0</v>
      </c>
      <c r="AE429" s="64">
        <v>0</v>
      </c>
      <c r="AF429" s="64"/>
      <c r="AG429" s="64">
        <v>0</v>
      </c>
      <c r="AH429" s="64">
        <v>0</v>
      </c>
      <c r="AI429" s="64">
        <v>0</v>
      </c>
      <c r="AJ429" s="64">
        <v>0</v>
      </c>
      <c r="AK429" s="64">
        <v>0</v>
      </c>
      <c r="AL429" s="64">
        <v>0</v>
      </c>
      <c r="AM429" s="64">
        <v>315045.7</v>
      </c>
      <c r="AN429" s="65">
        <v>31504.57</v>
      </c>
      <c r="AO429" s="66">
        <v>60003.604022000007</v>
      </c>
      <c r="AP429" s="128">
        <f>+N429-'Приложение №2'!E438</f>
        <v>0</v>
      </c>
      <c r="AQ429" s="23">
        <v>951368.91</v>
      </c>
      <c r="AR429" s="25">
        <f t="shared" si="258"/>
        <v>217229.4</v>
      </c>
      <c r="AS429" s="25">
        <f t="shared" si="259"/>
        <v>7666920</v>
      </c>
      <c r="AT429" s="127">
        <f t="shared" ref="AT429:AT469" si="260">+S429-AS429</f>
        <v>-5725331.0899999999</v>
      </c>
      <c r="AU429" s="127">
        <f>+P429-'[6]Приложение №1'!$P395</f>
        <v>-1633456.4588733336</v>
      </c>
      <c r="AV429" s="127">
        <f>+Q429-'[6]Приложение №1'!$Q395</f>
        <v>0</v>
      </c>
      <c r="AW429" s="63">
        <f t="shared" si="186"/>
        <v>3110187.22</v>
      </c>
      <c r="AX429" s="64">
        <v>0</v>
      </c>
      <c r="AY429" s="64">
        <v>0</v>
      </c>
      <c r="AZ429" s="64">
        <v>3043629.213492</v>
      </c>
      <c r="BA429" s="64">
        <v>0</v>
      </c>
      <c r="BB429" s="64">
        <v>0</v>
      </c>
      <c r="BC429" s="64"/>
      <c r="BD429" s="64"/>
      <c r="BE429" s="64">
        <v>0</v>
      </c>
      <c r="BF429" s="64">
        <v>0</v>
      </c>
      <c r="BG429" s="64">
        <v>0</v>
      </c>
      <c r="BH429" s="64">
        <v>0</v>
      </c>
      <c r="BI429" s="64">
        <v>0</v>
      </c>
      <c r="BJ429" s="64"/>
      <c r="BK429" s="65"/>
      <c r="BL429" s="66">
        <v>66558.006508000006</v>
      </c>
    </row>
    <row r="430" spans="1:65" x14ac:dyDescent="0.25">
      <c r="A430" s="141">
        <f t="shared" si="214"/>
        <v>412</v>
      </c>
      <c r="B430" s="142">
        <f t="shared" si="215"/>
        <v>224</v>
      </c>
      <c r="C430" s="62" t="s">
        <v>46</v>
      </c>
      <c r="D430" s="62" t="s">
        <v>1103</v>
      </c>
      <c r="E430" s="123">
        <v>1986</v>
      </c>
      <c r="F430" s="123">
        <v>2015</v>
      </c>
      <c r="G430" s="123" t="s">
        <v>43</v>
      </c>
      <c r="H430" s="123">
        <v>9</v>
      </c>
      <c r="I430" s="123">
        <v>1</v>
      </c>
      <c r="J430" s="64">
        <v>2147.3000000000002</v>
      </c>
      <c r="K430" s="64">
        <v>1765</v>
      </c>
      <c r="L430" s="64">
        <v>118.1</v>
      </c>
      <c r="M430" s="124">
        <v>71</v>
      </c>
      <c r="N430" s="95">
        <f t="shared" si="256"/>
        <v>20055940.725284003</v>
      </c>
      <c r="O430" s="64"/>
      <c r="P430" s="65">
        <v>5066248.0433099996</v>
      </c>
      <c r="Q430" s="65"/>
      <c r="R430" s="65">
        <v>229088.29</v>
      </c>
      <c r="S430" s="65">
        <v>5910108.1799999997</v>
      </c>
      <c r="T430" s="65">
        <f>+'Приложение №2'!E439-'Приложение №1'!P430-'Приложение №1'!Q430-'Приложение №1'!R430-'Приложение №1'!S430</f>
        <v>8850496.2119740006</v>
      </c>
      <c r="U430" s="64">
        <f t="shared" si="257"/>
        <v>10650.491596454784</v>
      </c>
      <c r="V430" s="64">
        <f t="shared" si="257"/>
        <v>10650.491596454784</v>
      </c>
      <c r="W430" s="126">
        <v>2023</v>
      </c>
      <c r="X430" s="127" t="e">
        <f>+#REF!-'[1]Приложение №1'!$P1194</f>
        <v>#REF!</v>
      </c>
      <c r="Z430" s="63">
        <f t="shared" ref="Z430:Z444" si="261">SUM(AA430:AO430)</f>
        <v>20557934.949999999</v>
      </c>
      <c r="AA430" s="64">
        <v>4354337.0884977598</v>
      </c>
      <c r="AB430" s="64">
        <v>2988403.2292165803</v>
      </c>
      <c r="AC430" s="64">
        <v>1819095.0789144</v>
      </c>
      <c r="AD430" s="64">
        <v>1641252.41830956</v>
      </c>
      <c r="AE430" s="64">
        <v>0</v>
      </c>
      <c r="AF430" s="64"/>
      <c r="AG430" s="64">
        <v>209478.56798399999</v>
      </c>
      <c r="AH430" s="64">
        <v>0</v>
      </c>
      <c r="AI430" s="64">
        <v>2124154.6930043995</v>
      </c>
      <c r="AJ430" s="64">
        <v>0</v>
      </c>
      <c r="AK430" s="64">
        <v>0</v>
      </c>
      <c r="AL430" s="64">
        <v>4849580.8718931004</v>
      </c>
      <c r="AM430" s="64">
        <v>1972729.6575000002</v>
      </c>
      <c r="AN430" s="65">
        <v>205579.34950000001</v>
      </c>
      <c r="AO430" s="66">
        <v>393323.99518020003</v>
      </c>
      <c r="AP430" s="128">
        <f>+N430-'Приложение №2'!E439</f>
        <v>0</v>
      </c>
      <c r="AQ430" s="23">
        <v>1032655.91</v>
      </c>
      <c r="AR430" s="25">
        <f>+(K430*13.29+L430*22.52)*12*0.85</f>
        <v>266387.91239999997</v>
      </c>
      <c r="AS430" s="25">
        <f>+(K430*13.29+L430*22.52)*12*30</f>
        <v>9401926.3200000003</v>
      </c>
      <c r="AT430" s="127">
        <f t="shared" si="260"/>
        <v>-3491818.1400000006</v>
      </c>
      <c r="AU430" s="127">
        <f>+P430-'[6]Приложение №1'!$P397</f>
        <v>1707648.1590433312</v>
      </c>
      <c r="AV430" s="127">
        <f>+Q430-'[6]Приложение №1'!$Q397</f>
        <v>0</v>
      </c>
      <c r="AW430" s="63">
        <f t="shared" ref="AW430:AW475" si="262">SUBTOTAL(9,AX430:BL430)</f>
        <v>20055940.725283999</v>
      </c>
      <c r="AX430" s="64">
        <v>4698966.264804</v>
      </c>
      <c r="AY430" s="64">
        <v>3271249.5477899997</v>
      </c>
      <c r="AZ430" s="64">
        <v>1989640.0224120002</v>
      </c>
      <c r="BA430" s="64">
        <v>1832647.6966140002</v>
      </c>
      <c r="BB430" s="64">
        <v>0</v>
      </c>
      <c r="BC430" s="64"/>
      <c r="BD430" s="64">
        <v>209478.56798399999</v>
      </c>
      <c r="BE430" s="64">
        <v>0</v>
      </c>
      <c r="BF430" s="64">
        <v>2326355.17</v>
      </c>
      <c r="BG430" s="64">
        <v>0</v>
      </c>
      <c r="BH430" s="64">
        <v>0</v>
      </c>
      <c r="BI430" s="64">
        <v>5299064.2766880002</v>
      </c>
      <c r="BJ430" s="64"/>
      <c r="BK430" s="65"/>
      <c r="BL430" s="66">
        <v>428539.178992</v>
      </c>
    </row>
    <row r="431" spans="1:65" x14ac:dyDescent="0.25">
      <c r="A431" s="141">
        <f t="shared" si="214"/>
        <v>413</v>
      </c>
      <c r="B431" s="142">
        <f t="shared" si="215"/>
        <v>225</v>
      </c>
      <c r="C431" s="62" t="s">
        <v>46</v>
      </c>
      <c r="D431" s="62" t="s">
        <v>413</v>
      </c>
      <c r="E431" s="123">
        <v>1974</v>
      </c>
      <c r="F431" s="123">
        <v>2014</v>
      </c>
      <c r="G431" s="123" t="s">
        <v>43</v>
      </c>
      <c r="H431" s="123">
        <v>4</v>
      </c>
      <c r="I431" s="123">
        <v>6</v>
      </c>
      <c r="J431" s="64">
        <v>4464.7</v>
      </c>
      <c r="K431" s="64">
        <v>4072.9</v>
      </c>
      <c r="L431" s="64">
        <v>35.1</v>
      </c>
      <c r="M431" s="124">
        <v>161</v>
      </c>
      <c r="N431" s="95">
        <f t="shared" si="256"/>
        <v>11997336.196299998</v>
      </c>
      <c r="O431" s="64"/>
      <c r="P431" s="65"/>
      <c r="Q431" s="65"/>
      <c r="R431" s="65">
        <v>0</v>
      </c>
      <c r="S431" s="65">
        <f>+'Приложение №2'!E440-'Приложение №1'!R431</f>
        <v>11997336.196299998</v>
      </c>
      <c r="T431" s="65">
        <v>0</v>
      </c>
      <c r="U431" s="64">
        <f t="shared" ref="U431:V441" si="263">$N431/($K431+$L431)</f>
        <v>2920.4810604430377</v>
      </c>
      <c r="V431" s="64">
        <f t="shared" si="263"/>
        <v>2920.4810604430377</v>
      </c>
      <c r="W431" s="126">
        <v>2023</v>
      </c>
      <c r="X431" s="127" t="e">
        <f>+#REF!-'[1]Приложение №1'!$P827</f>
        <v>#REF!</v>
      </c>
      <c r="Z431" s="63">
        <f t="shared" si="261"/>
        <v>13183885.93</v>
      </c>
      <c r="AA431" s="64">
        <v>11740593.201699179</v>
      </c>
      <c r="AB431" s="64">
        <v>0</v>
      </c>
      <c r="AC431" s="64">
        <v>0</v>
      </c>
      <c r="AD431" s="64">
        <v>0</v>
      </c>
      <c r="AE431" s="64">
        <v>0</v>
      </c>
      <c r="AF431" s="64"/>
      <c r="AG431" s="64">
        <v>0</v>
      </c>
      <c r="AH431" s="64">
        <v>0</v>
      </c>
      <c r="AI431" s="64">
        <v>0</v>
      </c>
      <c r="AJ431" s="64">
        <v>0</v>
      </c>
      <c r="AK431" s="64">
        <v>0</v>
      </c>
      <c r="AL431" s="64">
        <v>0</v>
      </c>
      <c r="AM431" s="64">
        <v>1054710.8744000001</v>
      </c>
      <c r="AN431" s="65">
        <v>131838.85930000001</v>
      </c>
      <c r="AO431" s="66">
        <v>256742.99460081998</v>
      </c>
      <c r="AP431" s="128">
        <f>+N431-'Приложение №2'!E440</f>
        <v>0</v>
      </c>
      <c r="AQ431" s="127">
        <f>1783982.53-1137414.79-R162</f>
        <v>-860352.16999999993</v>
      </c>
      <c r="AR431" s="25">
        <f>+(K431*10+L431*20)*12*0.85</f>
        <v>422596.2</v>
      </c>
      <c r="AS431" s="25">
        <f>+(K431*10+L431*20)*12*30-1312050.47-S162</f>
        <v>13603109.529999999</v>
      </c>
      <c r="AT431" s="127">
        <f t="shared" si="260"/>
        <v>-1605773.3337000012</v>
      </c>
      <c r="AU431" s="127">
        <f>+P431-'[6]Приложение №1'!$P400</f>
        <v>0</v>
      </c>
      <c r="AV431" s="127">
        <f>+Q431-'[6]Приложение №1'!$Q400</f>
        <v>0</v>
      </c>
      <c r="AW431" s="63">
        <f t="shared" si="262"/>
        <v>11997336.196299998</v>
      </c>
      <c r="AX431" s="64">
        <v>11740593.201699179</v>
      </c>
      <c r="AY431" s="64">
        <v>0</v>
      </c>
      <c r="AZ431" s="64">
        <v>0</v>
      </c>
      <c r="BA431" s="64">
        <v>0</v>
      </c>
      <c r="BB431" s="64">
        <v>0</v>
      </c>
      <c r="BC431" s="64"/>
      <c r="BD431" s="64"/>
      <c r="BE431" s="64">
        <v>0</v>
      </c>
      <c r="BF431" s="64">
        <v>0</v>
      </c>
      <c r="BG431" s="64">
        <v>0</v>
      </c>
      <c r="BH431" s="64">
        <v>0</v>
      </c>
      <c r="BI431" s="64">
        <v>0</v>
      </c>
      <c r="BJ431" s="64"/>
      <c r="BK431" s="65"/>
      <c r="BL431" s="66">
        <v>256742.99460081998</v>
      </c>
    </row>
    <row r="432" spans="1:65" x14ac:dyDescent="0.25">
      <c r="A432" s="141">
        <f t="shared" si="214"/>
        <v>414</v>
      </c>
      <c r="B432" s="142">
        <f t="shared" si="215"/>
        <v>226</v>
      </c>
      <c r="C432" s="62" t="s">
        <v>46</v>
      </c>
      <c r="D432" s="62" t="s">
        <v>847</v>
      </c>
      <c r="E432" s="123">
        <v>1991</v>
      </c>
      <c r="F432" s="123">
        <v>2015</v>
      </c>
      <c r="G432" s="123" t="s">
        <v>43</v>
      </c>
      <c r="H432" s="123">
        <v>9</v>
      </c>
      <c r="I432" s="123">
        <v>3</v>
      </c>
      <c r="J432" s="64">
        <v>6893.1</v>
      </c>
      <c r="K432" s="64">
        <v>6102.4</v>
      </c>
      <c r="L432" s="64">
        <v>65.5</v>
      </c>
      <c r="M432" s="124">
        <v>255</v>
      </c>
      <c r="N432" s="95">
        <f t="shared" si="256"/>
        <v>41211346.969699867</v>
      </c>
      <c r="O432" s="64"/>
      <c r="P432" s="65">
        <v>4707435.7713200003</v>
      </c>
      <c r="Q432" s="65"/>
      <c r="R432" s="65">
        <f>+AQ432+AR432</f>
        <v>4332299.0011999998</v>
      </c>
      <c r="S432" s="65">
        <f>+AS432</f>
        <v>29727344.159999996</v>
      </c>
      <c r="T432" s="65">
        <f>+'Приложение №2'!E441-'Приложение №1'!P432-'Приложение №1'!Q432-'Приложение №1'!R432-'Приложение №1'!S432</f>
        <v>2444268.0371798724</v>
      </c>
      <c r="U432" s="64">
        <f t="shared" si="263"/>
        <v>6681.584813258949</v>
      </c>
      <c r="V432" s="64">
        <f t="shared" si="263"/>
        <v>6681.584813258949</v>
      </c>
      <c r="W432" s="126">
        <v>2023</v>
      </c>
      <c r="X432" s="127" t="e">
        <f>+#REF!-'[1]Приложение №1'!$P1447</f>
        <v>#REF!</v>
      </c>
      <c r="Z432" s="63">
        <f t="shared" si="261"/>
        <v>135273087.03</v>
      </c>
      <c r="AA432" s="64">
        <v>14114712.016718039</v>
      </c>
      <c r="AB432" s="64">
        <v>9686997.1466872804</v>
      </c>
      <c r="AC432" s="64">
        <v>5896650.3147518393</v>
      </c>
      <c r="AD432" s="64">
        <v>5320168.0919898003</v>
      </c>
      <c r="AE432" s="64">
        <v>0</v>
      </c>
      <c r="AF432" s="64"/>
      <c r="AG432" s="64">
        <v>679030.95234239998</v>
      </c>
      <c r="AH432" s="64">
        <v>0</v>
      </c>
      <c r="AI432" s="64">
        <v>6885510.0487487996</v>
      </c>
      <c r="AJ432" s="64">
        <v>0</v>
      </c>
      <c r="AK432" s="64">
        <v>59777000.180442296</v>
      </c>
      <c r="AL432" s="64">
        <v>15720059.33396766</v>
      </c>
      <c r="AM432" s="64">
        <v>13258054.825500002</v>
      </c>
      <c r="AN432" s="65">
        <v>1352730.8703000001</v>
      </c>
      <c r="AO432" s="66">
        <v>2582173.2485518805</v>
      </c>
      <c r="AP432" s="128">
        <f>+N432-'Приложение №2'!E441</f>
        <v>0</v>
      </c>
      <c r="AQ432" s="127">
        <f>3490024.25</f>
        <v>3490024.25</v>
      </c>
      <c r="AR432" s="25">
        <f t="shared" ref="AR432:AR436" si="264">+(K432*13.29+L432*22.52)*12*0.85</f>
        <v>842274.75119999982</v>
      </c>
      <c r="AS432" s="25">
        <f>+(K432*13.29+L432*22.52)*12*30</f>
        <v>29727344.159999996</v>
      </c>
      <c r="AT432" s="127">
        <f t="shared" si="260"/>
        <v>0</v>
      </c>
      <c r="AU432" s="127">
        <f>+P432-'[6]Приложение №1'!$P402</f>
        <v>4707435.7713200003</v>
      </c>
      <c r="AV432" s="127">
        <f>+Q432-'[6]Приложение №1'!$Q402</f>
        <v>0</v>
      </c>
      <c r="AW432" s="63">
        <f t="shared" si="262"/>
        <v>41211346.969699867</v>
      </c>
      <c r="AX432" s="64">
        <v>14114712.016718039</v>
      </c>
      <c r="AY432" s="64">
        <v>5068716.41</v>
      </c>
      <c r="AZ432" s="64"/>
      <c r="BA432" s="64">
        <v>5320168.0919898003</v>
      </c>
      <c r="BB432" s="64"/>
      <c r="BC432" s="64"/>
      <c r="BD432" s="64">
        <v>679030.95234239998</v>
      </c>
      <c r="BE432" s="64">
        <v>0</v>
      </c>
      <c r="BF432" s="64"/>
      <c r="BG432" s="64">
        <v>0</v>
      </c>
      <c r="BH432" s="64"/>
      <c r="BI432" s="64">
        <v>15720059.33396766</v>
      </c>
      <c r="BJ432" s="64"/>
      <c r="BK432" s="65"/>
      <c r="BL432" s="66">
        <v>308660.16468196001</v>
      </c>
    </row>
    <row r="433" spans="1:64" x14ac:dyDescent="0.25">
      <c r="A433" s="141">
        <f t="shared" si="214"/>
        <v>415</v>
      </c>
      <c r="B433" s="142">
        <f t="shared" si="215"/>
        <v>227</v>
      </c>
      <c r="C433" s="62" t="s">
        <v>46</v>
      </c>
      <c r="D433" s="62" t="s">
        <v>1104</v>
      </c>
      <c r="E433" s="123">
        <v>1990</v>
      </c>
      <c r="F433" s="123">
        <v>2015</v>
      </c>
      <c r="G433" s="123" t="s">
        <v>43</v>
      </c>
      <c r="H433" s="123">
        <v>9</v>
      </c>
      <c r="I433" s="123">
        <v>4</v>
      </c>
      <c r="J433" s="64">
        <v>9225.6</v>
      </c>
      <c r="K433" s="64">
        <v>8138.5</v>
      </c>
      <c r="L433" s="64">
        <v>48</v>
      </c>
      <c r="M433" s="124">
        <v>380</v>
      </c>
      <c r="N433" s="95">
        <f t="shared" si="256"/>
        <v>25200863.723121602</v>
      </c>
      <c r="O433" s="64"/>
      <c r="P433" s="65"/>
      <c r="Q433" s="65"/>
      <c r="R433" s="65">
        <f>+AQ433+AR433</f>
        <v>5532618.585</v>
      </c>
      <c r="S433" s="65">
        <f>+'Приложение №2'!E442-'Приложение №1'!R433</f>
        <v>19668245.138121601</v>
      </c>
      <c r="T433" s="65">
        <v>9.3132257461547852E-10</v>
      </c>
      <c r="U433" s="64">
        <f t="shared" si="263"/>
        <v>3078.3440692752215</v>
      </c>
      <c r="V433" s="64">
        <f t="shared" si="263"/>
        <v>3078.3440692752215</v>
      </c>
      <c r="W433" s="126">
        <v>2023</v>
      </c>
      <c r="X433" s="127" t="e">
        <f>+#REF!-'[1]Приложение №1'!$P1449</f>
        <v>#REF!</v>
      </c>
      <c r="Z433" s="63">
        <f t="shared" si="261"/>
        <v>88860936.86999999</v>
      </c>
      <c r="AA433" s="64">
        <v>18821465.971318923</v>
      </c>
      <c r="AB433" s="64">
        <v>12917265.834582899</v>
      </c>
      <c r="AC433" s="64">
        <v>7862973.2694105599</v>
      </c>
      <c r="AD433" s="64">
        <v>7094254.7407149589</v>
      </c>
      <c r="AE433" s="64">
        <v>0</v>
      </c>
      <c r="AF433" s="64"/>
      <c r="AG433" s="64">
        <v>905463.60092160001</v>
      </c>
      <c r="AH433" s="64">
        <v>0</v>
      </c>
      <c r="AI433" s="64">
        <v>9181582.5123036001</v>
      </c>
      <c r="AJ433" s="64">
        <v>0</v>
      </c>
      <c r="AK433" s="64">
        <v>0</v>
      </c>
      <c r="AL433" s="64">
        <v>20962139.47557744</v>
      </c>
      <c r="AM433" s="64">
        <v>8527053.2270000018</v>
      </c>
      <c r="AN433" s="65">
        <v>888609.36870000011</v>
      </c>
      <c r="AO433" s="66">
        <v>1700128.8694700203</v>
      </c>
      <c r="AP433" s="128">
        <f>+N433-'Приложение №2'!E442</f>
        <v>0</v>
      </c>
      <c r="AQ433" s="127">
        <f>4418354.01</f>
        <v>4418354.01</v>
      </c>
      <c r="AR433" s="25">
        <f t="shared" si="264"/>
        <v>1114264.575</v>
      </c>
      <c r="AS433" s="25">
        <f>+(K433*13.29+L433*22.52)*12*30</f>
        <v>39326985</v>
      </c>
      <c r="AT433" s="127">
        <f t="shared" si="260"/>
        <v>-19658739.861878399</v>
      </c>
      <c r="AU433" s="127">
        <f>+P433-'[6]Приложение №1'!$P404</f>
        <v>0</v>
      </c>
      <c r="AV433" s="127">
        <f>+Q433-'[6]Приложение №1'!$Q404</f>
        <v>0</v>
      </c>
      <c r="AW433" s="63">
        <f t="shared" si="262"/>
        <v>25200863.723121602</v>
      </c>
      <c r="AX433" s="64">
        <v>18821465.971318923</v>
      </c>
      <c r="AY433" s="64">
        <v>5062346.8099999996</v>
      </c>
      <c r="AZ433" s="64"/>
      <c r="BA433" s="64"/>
      <c r="BB433" s="64"/>
      <c r="BC433" s="64"/>
      <c r="BD433" s="64">
        <v>905463.60092160001</v>
      </c>
      <c r="BE433" s="64">
        <v>0</v>
      </c>
      <c r="BF433" s="64"/>
      <c r="BG433" s="64">
        <v>0</v>
      </c>
      <c r="BH433" s="64">
        <v>0</v>
      </c>
      <c r="BI433" s="64"/>
      <c r="BJ433" s="64"/>
      <c r="BK433" s="65"/>
      <c r="BL433" s="66">
        <v>411587.34088108013</v>
      </c>
    </row>
    <row r="434" spans="1:64" x14ac:dyDescent="0.25">
      <c r="A434" s="141">
        <f t="shared" si="214"/>
        <v>416</v>
      </c>
      <c r="B434" s="142">
        <f t="shared" si="215"/>
        <v>228</v>
      </c>
      <c r="C434" s="62" t="s">
        <v>46</v>
      </c>
      <c r="D434" s="62" t="s">
        <v>841</v>
      </c>
      <c r="E434" s="123">
        <v>1992</v>
      </c>
      <c r="F434" s="123">
        <v>2015</v>
      </c>
      <c r="G434" s="123" t="s">
        <v>43</v>
      </c>
      <c r="H434" s="123">
        <v>9</v>
      </c>
      <c r="I434" s="123">
        <v>3</v>
      </c>
      <c r="J434" s="64">
        <v>6872</v>
      </c>
      <c r="K434" s="64">
        <v>6094.4</v>
      </c>
      <c r="L434" s="64">
        <v>0</v>
      </c>
      <c r="M434" s="124">
        <v>259</v>
      </c>
      <c r="N434" s="95">
        <f t="shared" si="256"/>
        <v>7603592.7265236992</v>
      </c>
      <c r="O434" s="64"/>
      <c r="P434" s="65"/>
      <c r="Q434" s="65"/>
      <c r="R434" s="65">
        <v>1484681.69</v>
      </c>
      <c r="S434" s="65">
        <f>+'Приложение №2'!E443-'Приложение №1'!R434</f>
        <v>6118911.0365236998</v>
      </c>
      <c r="T434" s="65">
        <f>+'Приложение №2'!E443-'Приложение №1'!P434-'Приложение №1'!Q434-'Приложение №1'!R434-'Приложение №1'!S434</f>
        <v>0</v>
      </c>
      <c r="U434" s="64">
        <f t="shared" si="263"/>
        <v>1247.6359816427703</v>
      </c>
      <c r="V434" s="64">
        <f t="shared" si="263"/>
        <v>1247.6359816427703</v>
      </c>
      <c r="W434" s="126">
        <v>2023</v>
      </c>
      <c r="X434" s="127" t="e">
        <f>+#REF!-'[1]Приложение №1'!$P1158</f>
        <v>#REF!</v>
      </c>
      <c r="Y434" s="23" t="s">
        <v>86</v>
      </c>
      <c r="Z434" s="63">
        <f t="shared" si="261"/>
        <v>58070573.899999999</v>
      </c>
      <c r="AA434" s="64">
        <v>13934572.418976301</v>
      </c>
      <c r="AB434" s="64">
        <v>9563366.4457228798</v>
      </c>
      <c r="AC434" s="64">
        <v>5821394.0711791199</v>
      </c>
      <c r="AD434" s="64">
        <v>5252269.220784599</v>
      </c>
      <c r="AE434" s="64">
        <v>0</v>
      </c>
      <c r="AF434" s="64"/>
      <c r="AG434" s="64">
        <v>670364.7917232</v>
      </c>
      <c r="AH434" s="64">
        <v>0</v>
      </c>
      <c r="AI434" s="64">
        <v>0</v>
      </c>
      <c r="AJ434" s="64">
        <v>0</v>
      </c>
      <c r="AK434" s="64">
        <v>0</v>
      </c>
      <c r="AL434" s="64">
        <v>15519431.430770401</v>
      </c>
      <c r="AM434" s="64">
        <v>5618420.8085000012</v>
      </c>
      <c r="AN434" s="65">
        <v>580705.73900000006</v>
      </c>
      <c r="AO434" s="66">
        <v>1110048.9733435002</v>
      </c>
      <c r="AP434" s="128">
        <f>+N434-'Приложение №2'!E443</f>
        <v>0</v>
      </c>
      <c r="AQ434" s="127">
        <f>3336709.09-263343.45-R164</f>
        <v>3073365.6399999997</v>
      </c>
      <c r="AR434" s="25">
        <f t="shared" si="264"/>
        <v>826144.67519999982</v>
      </c>
      <c r="AS434" s="25">
        <f>+(K434*13.29+L434*22.52)*12*30-1442656.44</f>
        <v>27715390.919999991</v>
      </c>
      <c r="AT434" s="127">
        <f t="shared" si="260"/>
        <v>-21596479.883476291</v>
      </c>
      <c r="AU434" s="127">
        <f>+P434-'[6]Приложение №1'!$P405</f>
        <v>0</v>
      </c>
      <c r="AV434" s="127">
        <f>+Q434-'[6]Приложение №1'!$Q405</f>
        <v>0</v>
      </c>
      <c r="AW434" s="63">
        <f t="shared" si="262"/>
        <v>7603592.7265236992</v>
      </c>
      <c r="AX434" s="64">
        <v>7298871.8499999996</v>
      </c>
      <c r="AY434" s="64"/>
      <c r="AZ434" s="64"/>
      <c r="BA434" s="64"/>
      <c r="BB434" s="64"/>
      <c r="BC434" s="64"/>
      <c r="BD434" s="64"/>
      <c r="BE434" s="64">
        <v>0</v>
      </c>
      <c r="BF434" s="64">
        <v>0</v>
      </c>
      <c r="BG434" s="64">
        <v>0</v>
      </c>
      <c r="BH434" s="64">
        <v>0</v>
      </c>
      <c r="BI434" s="64"/>
      <c r="BJ434" s="64"/>
      <c r="BK434" s="65"/>
      <c r="BL434" s="66">
        <v>304720.87652370002</v>
      </c>
    </row>
    <row r="435" spans="1:64" x14ac:dyDescent="0.25">
      <c r="A435" s="141">
        <f t="shared" si="214"/>
        <v>417</v>
      </c>
      <c r="B435" s="142">
        <f t="shared" si="215"/>
        <v>229</v>
      </c>
      <c r="C435" s="62" t="s">
        <v>46</v>
      </c>
      <c r="D435" s="62" t="s">
        <v>840</v>
      </c>
      <c r="E435" s="123">
        <v>1989</v>
      </c>
      <c r="F435" s="123">
        <v>2015</v>
      </c>
      <c r="G435" s="123" t="s">
        <v>43</v>
      </c>
      <c r="H435" s="123">
        <v>9</v>
      </c>
      <c r="I435" s="123">
        <v>4</v>
      </c>
      <c r="J435" s="64">
        <v>9199.2999999999993</v>
      </c>
      <c r="K435" s="64">
        <v>8072</v>
      </c>
      <c r="L435" s="64">
        <v>65.599999999999994</v>
      </c>
      <c r="M435" s="124">
        <v>366</v>
      </c>
      <c r="N435" s="95">
        <f t="shared" si="256"/>
        <v>35079221.879224002</v>
      </c>
      <c r="O435" s="64"/>
      <c r="P435" s="65">
        <v>9810640.4199999999</v>
      </c>
      <c r="Q435" s="65"/>
      <c r="R435" s="65">
        <f>+AQ435+AR435-R163</f>
        <v>4700408.8283999991</v>
      </c>
      <c r="S435" s="65">
        <f>+AS435</f>
        <v>14473887.709999997</v>
      </c>
      <c r="T435" s="65">
        <f>+'Приложение №2'!E444-'Приложение №1'!P435-'Приложение №1'!Q435-'Приложение №1'!R435-'Приложение №1'!S435</f>
        <v>6094284.9208240025</v>
      </c>
      <c r="U435" s="64">
        <f t="shared" si="263"/>
        <v>4310.7577024213524</v>
      </c>
      <c r="V435" s="64">
        <f t="shared" si="263"/>
        <v>4310.7577024213524</v>
      </c>
      <c r="W435" s="126">
        <v>2023</v>
      </c>
      <c r="X435" s="127" t="e">
        <f>+#REF!-'[1]Приложение №1'!$P1450</f>
        <v>#REF!</v>
      </c>
      <c r="Z435" s="63">
        <f t="shared" si="261"/>
        <v>77772109.160000011</v>
      </c>
      <c r="AA435" s="64">
        <v>18662138.402554922</v>
      </c>
      <c r="AB435" s="64">
        <v>12807918.526641842</v>
      </c>
      <c r="AC435" s="64">
        <v>7796411.5854290398</v>
      </c>
      <c r="AD435" s="64">
        <v>7034200.4194895998</v>
      </c>
      <c r="AE435" s="64">
        <v>0</v>
      </c>
      <c r="AF435" s="64"/>
      <c r="AG435" s="64">
        <v>897798.66553440015</v>
      </c>
      <c r="AH435" s="64">
        <v>0</v>
      </c>
      <c r="AI435" s="64">
        <v>0</v>
      </c>
      <c r="AJ435" s="64">
        <v>0</v>
      </c>
      <c r="AK435" s="64">
        <v>0</v>
      </c>
      <c r="AL435" s="64">
        <v>20784690.663111482</v>
      </c>
      <c r="AM435" s="64">
        <v>7524575.8236000016</v>
      </c>
      <c r="AN435" s="65">
        <v>777721.09159999993</v>
      </c>
      <c r="AO435" s="66">
        <v>1486653.9820387203</v>
      </c>
      <c r="AP435" s="128">
        <f>+N435-'Приложение №2'!E444</f>
        <v>0</v>
      </c>
      <c r="AQ435" s="23">
        <v>4641267.93</v>
      </c>
      <c r="AR435" s="25">
        <f t="shared" si="264"/>
        <v>1109292.7583999999</v>
      </c>
      <c r="AS435" s="25">
        <f>+(K435*13.29+L435*22.52)*12*30-AS163</f>
        <v>14473887.709999997</v>
      </c>
      <c r="AT435" s="127">
        <f t="shared" si="260"/>
        <v>0</v>
      </c>
      <c r="AU435" s="127">
        <f>+P435-'[6]Приложение №1'!$P406</f>
        <v>-1256410.42</v>
      </c>
      <c r="AV435" s="127">
        <f>+Q435-'[6]Приложение №1'!$Q406</f>
        <v>0</v>
      </c>
      <c r="AW435" s="63">
        <f t="shared" si="262"/>
        <v>35079221.879224002</v>
      </c>
      <c r="AX435" s="64">
        <v>20377265.934942003</v>
      </c>
      <c r="AY435" s="64"/>
      <c r="AZ435" s="64">
        <v>5982768.1600000001</v>
      </c>
      <c r="BA435" s="64">
        <v>6173299.2699999996</v>
      </c>
      <c r="BB435" s="64">
        <v>0</v>
      </c>
      <c r="BC435" s="64"/>
      <c r="BD435" s="64">
        <v>897798.66553440015</v>
      </c>
      <c r="BE435" s="64">
        <v>0</v>
      </c>
      <c r="BF435" s="64">
        <v>0</v>
      </c>
      <c r="BG435" s="64">
        <v>0</v>
      </c>
      <c r="BH435" s="64">
        <v>0</v>
      </c>
      <c r="BI435" s="64"/>
      <c r="BJ435" s="64"/>
      <c r="BK435" s="65"/>
      <c r="BL435" s="66">
        <v>1648089.8487476003</v>
      </c>
    </row>
    <row r="436" spans="1:64" x14ac:dyDescent="0.25">
      <c r="A436" s="141">
        <f t="shared" si="214"/>
        <v>418</v>
      </c>
      <c r="B436" s="142">
        <f t="shared" si="215"/>
        <v>230</v>
      </c>
      <c r="C436" s="62" t="s">
        <v>46</v>
      </c>
      <c r="D436" s="62" t="s">
        <v>849</v>
      </c>
      <c r="E436" s="123">
        <v>1981</v>
      </c>
      <c r="F436" s="123">
        <v>2012</v>
      </c>
      <c r="G436" s="123" t="s">
        <v>43</v>
      </c>
      <c r="H436" s="123">
        <v>9</v>
      </c>
      <c r="I436" s="123">
        <v>1</v>
      </c>
      <c r="J436" s="64">
        <v>3186</v>
      </c>
      <c r="K436" s="64">
        <v>2438</v>
      </c>
      <c r="L436" s="64">
        <v>0</v>
      </c>
      <c r="M436" s="124">
        <v>147</v>
      </c>
      <c r="N436" s="95">
        <f t="shared" si="256"/>
        <v>24395451.924600001</v>
      </c>
      <c r="O436" s="64"/>
      <c r="P436" s="65">
        <v>4675363.0278000021</v>
      </c>
      <c r="Q436" s="65"/>
      <c r="R436" s="65">
        <f>+AQ436+AR436</f>
        <v>1721639.844</v>
      </c>
      <c r="S436" s="65">
        <f>+AS436</f>
        <v>11664367.199999999</v>
      </c>
      <c r="T436" s="65">
        <f>+'Приложение №2'!E445-'Приложение №1'!P436-'Приложение №1'!Q436-'Приложение №1'!R436-'Приложение №1'!S436</f>
        <v>6334081.8528000005</v>
      </c>
      <c r="U436" s="64">
        <f t="shared" si="263"/>
        <v>10006.337951025431</v>
      </c>
      <c r="V436" s="64">
        <f t="shared" si="263"/>
        <v>10006.337951025431</v>
      </c>
      <c r="W436" s="126">
        <v>2023</v>
      </c>
      <c r="X436" s="127" t="e">
        <f>+#REF!-'[1]Приложение №1'!$P830</f>
        <v>#REF!</v>
      </c>
      <c r="Z436" s="63">
        <f t="shared" si="261"/>
        <v>50902320.63000001</v>
      </c>
      <c r="AA436" s="64">
        <v>5637051.2554028397</v>
      </c>
      <c r="AB436" s="64">
        <v>3868736.3499422399</v>
      </c>
      <c r="AC436" s="64">
        <v>2354969.76838536</v>
      </c>
      <c r="AD436" s="64">
        <v>2124737.6642049598</v>
      </c>
      <c r="AE436" s="64">
        <v>0</v>
      </c>
      <c r="AF436" s="64"/>
      <c r="AG436" s="64">
        <v>271187.41644959996</v>
      </c>
      <c r="AH436" s="64">
        <v>0</v>
      </c>
      <c r="AI436" s="64">
        <v>0</v>
      </c>
      <c r="AJ436" s="64">
        <v>0</v>
      </c>
      <c r="AK436" s="64">
        <v>23873389.253413562</v>
      </c>
      <c r="AL436" s="64">
        <v>6278185.5016536601</v>
      </c>
      <c r="AM436" s="64">
        <v>5013921.5710000005</v>
      </c>
      <c r="AN436" s="65">
        <v>509023.20629999996</v>
      </c>
      <c r="AO436" s="66">
        <v>971118.64324777992</v>
      </c>
      <c r="AP436" s="128">
        <f>+N436-'Приложение №2'!E445</f>
        <v>0</v>
      </c>
      <c r="AQ436" s="23">
        <v>1391149.44</v>
      </c>
      <c r="AR436" s="25">
        <f t="shared" si="264"/>
        <v>330490.40399999998</v>
      </c>
      <c r="AS436" s="25">
        <f>+(K436*13.29+L436*22.52)*12*30</f>
        <v>11664367.199999999</v>
      </c>
      <c r="AT436" s="127">
        <f t="shared" si="260"/>
        <v>0</v>
      </c>
      <c r="AU436" s="127">
        <f>+P436-'[6]Приложение №1'!$P407</f>
        <v>0</v>
      </c>
      <c r="AV436" s="127">
        <f>+Q436-'[6]Приложение №1'!$Q407</f>
        <v>0</v>
      </c>
      <c r="AW436" s="63">
        <f t="shared" si="262"/>
        <v>24395451.924600001</v>
      </c>
      <c r="AX436" s="64"/>
      <c r="AY436" s="64"/>
      <c r="AZ436" s="64"/>
      <c r="BA436" s="64"/>
      <c r="BB436" s="64"/>
      <c r="BC436" s="64"/>
      <c r="BD436" s="64"/>
      <c r="BE436" s="64"/>
      <c r="BF436" s="64">
        <v>0</v>
      </c>
      <c r="BG436" s="64">
        <v>0</v>
      </c>
      <c r="BH436" s="64">
        <v>23873389.253413562</v>
      </c>
      <c r="BI436" s="64"/>
      <c r="BJ436" s="64"/>
      <c r="BK436" s="65"/>
      <c r="BL436" s="66">
        <v>522062.67118644004</v>
      </c>
    </row>
    <row r="437" spans="1:64" x14ac:dyDescent="0.25">
      <c r="A437" s="141">
        <f t="shared" si="214"/>
        <v>419</v>
      </c>
      <c r="B437" s="142">
        <f t="shared" si="215"/>
        <v>231</v>
      </c>
      <c r="C437" s="62" t="s">
        <v>46</v>
      </c>
      <c r="D437" s="62" t="s">
        <v>851</v>
      </c>
      <c r="E437" s="123">
        <v>1971</v>
      </c>
      <c r="F437" s="123">
        <v>2015</v>
      </c>
      <c r="G437" s="123" t="s">
        <v>43</v>
      </c>
      <c r="H437" s="123">
        <v>4</v>
      </c>
      <c r="I437" s="123">
        <v>3</v>
      </c>
      <c r="J437" s="64">
        <v>2186.1</v>
      </c>
      <c r="K437" s="64">
        <v>2051.6</v>
      </c>
      <c r="L437" s="64">
        <v>31.5</v>
      </c>
      <c r="M437" s="124">
        <v>100</v>
      </c>
      <c r="N437" s="95">
        <f t="shared" si="256"/>
        <v>5983323.2459000004</v>
      </c>
      <c r="O437" s="64"/>
      <c r="P437" s="65"/>
      <c r="Q437" s="65"/>
      <c r="R437" s="65">
        <f>+AQ437+AR437</f>
        <v>1109273.1399999999</v>
      </c>
      <c r="S437" s="65">
        <f>+'Приложение №2'!E446-'Приложение №1'!R437</f>
        <v>4874050.1059000008</v>
      </c>
      <c r="T437" s="65">
        <v>0</v>
      </c>
      <c r="U437" s="64">
        <f t="shared" si="263"/>
        <v>2872.3168575200425</v>
      </c>
      <c r="V437" s="64">
        <f t="shared" si="263"/>
        <v>2872.3168575200425</v>
      </c>
      <c r="W437" s="126">
        <v>2023</v>
      </c>
      <c r="X437" s="127" t="e">
        <f>+#REF!-'[1]Приложение №1'!$P508</f>
        <v>#REF!</v>
      </c>
      <c r="Z437" s="63">
        <f t="shared" si="261"/>
        <v>6575080.4900000002</v>
      </c>
      <c r="AA437" s="64">
        <v>5855280.1284377407</v>
      </c>
      <c r="AB437" s="64">
        <v>0</v>
      </c>
      <c r="AC437" s="64">
        <v>0</v>
      </c>
      <c r="AD437" s="64">
        <v>0</v>
      </c>
      <c r="AE437" s="64">
        <v>0</v>
      </c>
      <c r="AF437" s="64"/>
      <c r="AG437" s="64">
        <v>0</v>
      </c>
      <c r="AH437" s="64">
        <v>0</v>
      </c>
      <c r="AI437" s="64">
        <v>0</v>
      </c>
      <c r="AJ437" s="64">
        <v>0</v>
      </c>
      <c r="AK437" s="64">
        <v>0</v>
      </c>
      <c r="AL437" s="64">
        <v>0</v>
      </c>
      <c r="AM437" s="64">
        <v>526006.43920000002</v>
      </c>
      <c r="AN437" s="65">
        <v>65750.804900000003</v>
      </c>
      <c r="AO437" s="66">
        <v>128043.11746226001</v>
      </c>
      <c r="AP437" s="128">
        <f>+N437-'Приложение №2'!E446</f>
        <v>0</v>
      </c>
      <c r="AQ437" s="23">
        <v>893583.94</v>
      </c>
      <c r="AR437" s="25">
        <f>+(K437*10+L437*20)*12*0.85</f>
        <v>215689.19999999998</v>
      </c>
      <c r="AS437" s="25">
        <f>+(K437*10+L437*20)*12*30</f>
        <v>7612560</v>
      </c>
      <c r="AT437" s="127">
        <f t="shared" si="260"/>
        <v>-2738509.8940999992</v>
      </c>
      <c r="AU437" s="127">
        <f>+P437-'[6]Приложение №1'!$P411</f>
        <v>-1384853.583333333</v>
      </c>
      <c r="AV437" s="127">
        <f>+Q437-'[6]Приложение №1'!$Q411</f>
        <v>0</v>
      </c>
      <c r="AW437" s="63">
        <f t="shared" si="262"/>
        <v>5983323.2459000004</v>
      </c>
      <c r="AX437" s="64">
        <v>5855280.1284377407</v>
      </c>
      <c r="AY437" s="64">
        <v>0</v>
      </c>
      <c r="AZ437" s="64">
        <v>0</v>
      </c>
      <c r="BA437" s="64">
        <v>0</v>
      </c>
      <c r="BB437" s="64">
        <v>0</v>
      </c>
      <c r="BC437" s="64"/>
      <c r="BD437" s="64"/>
      <c r="BE437" s="64">
        <v>0</v>
      </c>
      <c r="BF437" s="64">
        <v>0</v>
      </c>
      <c r="BG437" s="64">
        <v>0</v>
      </c>
      <c r="BH437" s="64">
        <v>0</v>
      </c>
      <c r="BI437" s="64">
        <v>0</v>
      </c>
      <c r="BJ437" s="64"/>
      <c r="BK437" s="65"/>
      <c r="BL437" s="66">
        <v>128043.11746226001</v>
      </c>
    </row>
    <row r="438" spans="1:64" x14ac:dyDescent="0.25">
      <c r="A438" s="141">
        <f t="shared" si="214"/>
        <v>420</v>
      </c>
      <c r="B438" s="142">
        <f t="shared" si="215"/>
        <v>232</v>
      </c>
      <c r="C438" s="62" t="s">
        <v>46</v>
      </c>
      <c r="D438" s="62" t="s">
        <v>1058</v>
      </c>
      <c r="E438" s="123">
        <v>1993</v>
      </c>
      <c r="F438" s="123">
        <v>2014</v>
      </c>
      <c r="G438" s="123" t="s">
        <v>43</v>
      </c>
      <c r="H438" s="123">
        <v>9</v>
      </c>
      <c r="I438" s="123">
        <v>1</v>
      </c>
      <c r="J438" s="64">
        <v>2553.4</v>
      </c>
      <c r="K438" s="64">
        <v>2128.8000000000002</v>
      </c>
      <c r="L438" s="64">
        <v>0</v>
      </c>
      <c r="M438" s="124">
        <v>78</v>
      </c>
      <c r="N438" s="95">
        <f t="shared" si="256"/>
        <v>21423269.711282879</v>
      </c>
      <c r="O438" s="64"/>
      <c r="P438" s="65"/>
      <c r="Q438" s="65"/>
      <c r="R438" s="65">
        <v>597799.18099999998</v>
      </c>
      <c r="S438" s="65">
        <f>+AS438</f>
        <v>7789187.1899999995</v>
      </c>
      <c r="T438" s="65">
        <f>+'Приложение №2'!E447-'Приложение №1'!P438-'Приложение №1'!Q438-'Приложение №1'!R438-'Приложение №1'!S438</f>
        <v>13036283.340282882</v>
      </c>
      <c r="U438" s="64">
        <f t="shared" si="263"/>
        <v>10063.54270541285</v>
      </c>
      <c r="V438" s="64">
        <f t="shared" si="263"/>
        <v>10063.54270541285</v>
      </c>
      <c r="W438" s="126">
        <v>2023</v>
      </c>
      <c r="X438" s="127" t="e">
        <f>+#REF!-'[1]Приложение №1'!$P1082</f>
        <v>#REF!</v>
      </c>
      <c r="Z438" s="63">
        <f t="shared" si="261"/>
        <v>44395710.680000007</v>
      </c>
      <c r="AA438" s="64">
        <v>4916492.8733411394</v>
      </c>
      <c r="AB438" s="64">
        <v>3374213.5460846401</v>
      </c>
      <c r="AC438" s="64">
        <v>2053944.7940944801</v>
      </c>
      <c r="AD438" s="64">
        <v>1853142.2046320401</v>
      </c>
      <c r="AE438" s="64">
        <v>0</v>
      </c>
      <c r="AF438" s="64"/>
      <c r="AG438" s="64">
        <v>236522.77397279997</v>
      </c>
      <c r="AH438" s="64">
        <v>0</v>
      </c>
      <c r="AI438" s="64">
        <v>0</v>
      </c>
      <c r="AJ438" s="64">
        <v>0</v>
      </c>
      <c r="AK438" s="64">
        <v>20821763.508175142</v>
      </c>
      <c r="AL438" s="64">
        <v>5475673.8714455394</v>
      </c>
      <c r="AM438" s="64">
        <v>4373014.9959000014</v>
      </c>
      <c r="AN438" s="65">
        <v>443957.10680000001</v>
      </c>
      <c r="AO438" s="66">
        <v>846985.00555422006</v>
      </c>
      <c r="AP438" s="128">
        <f>+N438-'Приложение №2'!E447</f>
        <v>0</v>
      </c>
      <c r="AQ438" s="23">
        <f>1103126.79-79353.74-714183.7328</f>
        <v>309589.31720000005</v>
      </c>
      <c r="AR438" s="25">
        <f>+(K438*13.29+L438*22.52)*12*0.85</f>
        <v>288575.87039999996</v>
      </c>
      <c r="AS438" s="25">
        <f>+(K438*13.95+L438*23.65)*12*30-300950.5-2600695.91</f>
        <v>7789187.1899999995</v>
      </c>
      <c r="AT438" s="127">
        <f t="shared" si="260"/>
        <v>0</v>
      </c>
      <c r="AU438" s="127">
        <f>+P438-'[6]Приложение №1'!$P412</f>
        <v>-1355261.3500000003</v>
      </c>
      <c r="AV438" s="127">
        <f>+Q438-'[6]Приложение №1'!$Q412</f>
        <v>0</v>
      </c>
      <c r="AW438" s="63">
        <f t="shared" si="262"/>
        <v>21423269.711282883</v>
      </c>
      <c r="AX438" s="64"/>
      <c r="AY438" s="64"/>
      <c r="AZ438" s="64"/>
      <c r="BA438" s="64"/>
      <c r="BB438" s="64"/>
      <c r="BC438" s="64"/>
      <c r="BD438" s="64"/>
      <c r="BE438" s="64">
        <v>0</v>
      </c>
      <c r="BF438" s="64">
        <v>0</v>
      </c>
      <c r="BG438" s="64">
        <v>0</v>
      </c>
      <c r="BH438" s="64">
        <v>20848198.017103564</v>
      </c>
      <c r="BI438" s="64"/>
      <c r="BJ438" s="64"/>
      <c r="BK438" s="65"/>
      <c r="BL438" s="66">
        <v>575071.69417932001</v>
      </c>
    </row>
    <row r="439" spans="1:64" x14ac:dyDescent="0.25">
      <c r="A439" s="141">
        <f t="shared" si="214"/>
        <v>421</v>
      </c>
      <c r="B439" s="142">
        <f t="shared" si="215"/>
        <v>233</v>
      </c>
      <c r="C439" s="62" t="s">
        <v>46</v>
      </c>
      <c r="D439" s="62" t="s">
        <v>843</v>
      </c>
      <c r="E439" s="123">
        <v>1972</v>
      </c>
      <c r="F439" s="123">
        <v>2013</v>
      </c>
      <c r="G439" s="123" t="s">
        <v>43</v>
      </c>
      <c r="H439" s="123">
        <v>4</v>
      </c>
      <c r="I439" s="123">
        <v>6</v>
      </c>
      <c r="J439" s="64">
        <v>4437.8999999999996</v>
      </c>
      <c r="K439" s="64">
        <v>4088.2</v>
      </c>
      <c r="L439" s="64">
        <v>0</v>
      </c>
      <c r="M439" s="124">
        <v>207</v>
      </c>
      <c r="N439" s="95">
        <f t="shared" si="256"/>
        <v>13125184.475528559</v>
      </c>
      <c r="O439" s="64"/>
      <c r="P439" s="65">
        <f>+'Приложение №2'!E448-'Приложение №1'!R439-'Приложение №1'!S439</f>
        <v>0</v>
      </c>
      <c r="Q439" s="65"/>
      <c r="R439" s="65">
        <f>+AQ439+AR439</f>
        <v>2349964.75</v>
      </c>
      <c r="S439" s="65">
        <f>+'Приложение №2'!E448-'Приложение №1'!R439</f>
        <v>10775219.725528559</v>
      </c>
      <c r="T439" s="65">
        <f>+'Приложение №2'!E448-'Приложение №1'!P439-'Приложение №1'!Q439-'Приложение №1'!R439-'Приложение №1'!S439</f>
        <v>0</v>
      </c>
      <c r="U439" s="64">
        <f t="shared" si="263"/>
        <v>3210.5044947724082</v>
      </c>
      <c r="V439" s="64">
        <f t="shared" si="263"/>
        <v>3210.5044947724082</v>
      </c>
      <c r="W439" s="126">
        <v>2023</v>
      </c>
      <c r="X439" s="127" t="e">
        <f>+#REF!-'[1]Приложение №1'!$P1456</f>
        <v>#REF!</v>
      </c>
      <c r="Z439" s="63">
        <f t="shared" si="261"/>
        <v>26371012.292399999</v>
      </c>
      <c r="AA439" s="64">
        <v>12305507</v>
      </c>
      <c r="AB439" s="64">
        <v>4288000.4889749996</v>
      </c>
      <c r="AC439" s="64">
        <v>4479954.2738714404</v>
      </c>
      <c r="AD439" s="64">
        <v>3127291</v>
      </c>
      <c r="AE439" s="64">
        <v>0</v>
      </c>
      <c r="AF439" s="64"/>
      <c r="AG439" s="64">
        <v>386031.94970675994</v>
      </c>
      <c r="AH439" s="64">
        <v>0</v>
      </c>
      <c r="AI439" s="64">
        <v>0</v>
      </c>
      <c r="AJ439" s="64">
        <v>0</v>
      </c>
      <c r="AK439" s="64">
        <v>0</v>
      </c>
      <c r="AL439" s="64">
        <v>0</v>
      </c>
      <c r="AM439" s="64">
        <v>1122564.2276999999</v>
      </c>
      <c r="AN439" s="65">
        <v>134247.94030000002</v>
      </c>
      <c r="AO439" s="66">
        <v>527415.41184680001</v>
      </c>
      <c r="AP439" s="128">
        <f>+N439-'Приложение №2'!E448</f>
        <v>0</v>
      </c>
      <c r="AQ439" s="23">
        <v>1932968.35</v>
      </c>
      <c r="AR439" s="25">
        <f t="shared" ref="AR439:AR444" si="265">+(K439*10+L439*20)*12*0.85</f>
        <v>416996.39999999997</v>
      </c>
      <c r="AS439" s="25">
        <f>+(K439*10+L439*20)*12*30</f>
        <v>14717520</v>
      </c>
      <c r="AT439" s="127">
        <f t="shared" si="260"/>
        <v>-3942300.2744714413</v>
      </c>
      <c r="AU439" s="127">
        <f>+P439-'[6]Приложение №1'!$P414</f>
        <v>0</v>
      </c>
      <c r="AV439" s="127">
        <f>+Q439-'[6]Приложение №1'!$Q414</f>
        <v>0</v>
      </c>
      <c r="AW439" s="63">
        <f t="shared" si="262"/>
        <v>13125184.475528559</v>
      </c>
      <c r="AX439" s="64">
        <v>12305507</v>
      </c>
      <c r="AY439" s="64"/>
      <c r="AZ439" s="64"/>
      <c r="BA439" s="64"/>
      <c r="BB439" s="64">
        <v>0</v>
      </c>
      <c r="BC439" s="64"/>
      <c r="BD439" s="64">
        <v>386031.94970675994</v>
      </c>
      <c r="BE439" s="64">
        <v>0</v>
      </c>
      <c r="BF439" s="64">
        <v>0</v>
      </c>
      <c r="BG439" s="64">
        <v>0</v>
      </c>
      <c r="BH439" s="64">
        <v>0</v>
      </c>
      <c r="BI439" s="64">
        <v>0</v>
      </c>
      <c r="BJ439" s="64"/>
      <c r="BK439" s="65"/>
      <c r="BL439" s="66">
        <v>433645.52582179999</v>
      </c>
    </row>
    <row r="440" spans="1:64" x14ac:dyDescent="0.25">
      <c r="A440" s="141">
        <f t="shared" si="214"/>
        <v>422</v>
      </c>
      <c r="B440" s="142">
        <f t="shared" si="215"/>
        <v>234</v>
      </c>
      <c r="C440" s="62" t="s">
        <v>58</v>
      </c>
      <c r="D440" s="62" t="s">
        <v>981</v>
      </c>
      <c r="E440" s="123">
        <v>1985</v>
      </c>
      <c r="F440" s="123">
        <v>1985</v>
      </c>
      <c r="G440" s="123" t="s">
        <v>43</v>
      </c>
      <c r="H440" s="123">
        <v>5</v>
      </c>
      <c r="I440" s="123">
        <v>4</v>
      </c>
      <c r="J440" s="64">
        <v>4957.5</v>
      </c>
      <c r="K440" s="64">
        <v>4305.3999999999996</v>
      </c>
      <c r="L440" s="64">
        <v>651.20000000000005</v>
      </c>
      <c r="M440" s="124">
        <v>166</v>
      </c>
      <c r="N440" s="95">
        <f t="shared" si="256"/>
        <v>19747257.494666997</v>
      </c>
      <c r="O440" s="64"/>
      <c r="P440" s="65">
        <f>+'Приложение №2'!E449-'Приложение №1'!R440-'Приложение №1'!S440</f>
        <v>0</v>
      </c>
      <c r="Q440" s="65"/>
      <c r="R440" s="65">
        <f>+AQ440+AR440</f>
        <v>2600649.54</v>
      </c>
      <c r="S440" s="65">
        <f>+'Приложение №2'!E449-'Приложение №1'!R440</f>
        <v>17146607.954666998</v>
      </c>
      <c r="T440" s="65">
        <f>+'Приложение №2'!E449-'Приложение №1'!P440-'Приложение №1'!Q440-'Приложение №1'!R440-'Приложение №1'!S440</f>
        <v>0</v>
      </c>
      <c r="U440" s="64">
        <f t="shared" si="263"/>
        <v>3984.0329045448493</v>
      </c>
      <c r="V440" s="64">
        <f t="shared" si="263"/>
        <v>3984.0329045448493</v>
      </c>
      <c r="W440" s="126">
        <v>2023</v>
      </c>
      <c r="X440" s="127" t="e">
        <f>+#REF!-'[1]Приложение №1'!$P1633</f>
        <v>#REF!</v>
      </c>
      <c r="Z440" s="63">
        <f t="shared" si="261"/>
        <v>19423335.669999994</v>
      </c>
      <c r="AA440" s="64">
        <v>12305784.620476618</v>
      </c>
      <c r="AB440" s="64">
        <v>4512564.0806433605</v>
      </c>
      <c r="AC440" s="64">
        <v>0</v>
      </c>
      <c r="AD440" s="64">
        <v>0</v>
      </c>
      <c r="AE440" s="64">
        <v>0</v>
      </c>
      <c r="AF440" s="64"/>
      <c r="AG440" s="64">
        <v>406248.53806487995</v>
      </c>
      <c r="AH440" s="64">
        <v>0</v>
      </c>
      <c r="AI440" s="64">
        <v>0</v>
      </c>
      <c r="AJ440" s="64">
        <v>0</v>
      </c>
      <c r="AK440" s="64">
        <v>0</v>
      </c>
      <c r="AL440" s="64">
        <v>0</v>
      </c>
      <c r="AM440" s="64">
        <v>1627838.0182</v>
      </c>
      <c r="AN440" s="65">
        <v>194233.35670000003</v>
      </c>
      <c r="AO440" s="66">
        <v>376667.05591514008</v>
      </c>
      <c r="AP440" s="128">
        <f>+N440-'Приложение №2'!E449</f>
        <v>0</v>
      </c>
      <c r="AQ440" s="23">
        <v>2028653.94</v>
      </c>
      <c r="AR440" s="25">
        <f t="shared" si="265"/>
        <v>571995.6</v>
      </c>
      <c r="AS440" s="25">
        <f>+(K440*10+L440*20)*12*30</f>
        <v>20188080</v>
      </c>
      <c r="AT440" s="127">
        <f t="shared" si="260"/>
        <v>-3041472.0453330018</v>
      </c>
      <c r="AU440" s="127">
        <f>+P440-'[6]Приложение №1'!$P415</f>
        <v>0</v>
      </c>
      <c r="AV440" s="127">
        <f>+Q440-'[6]Приложение №1'!$Q415</f>
        <v>0</v>
      </c>
      <c r="AW440" s="63">
        <f t="shared" si="262"/>
        <v>19747257.494666997</v>
      </c>
      <c r="AX440" s="64">
        <v>13442149.368269999</v>
      </c>
      <c r="AY440" s="64">
        <v>4980833.6754120002</v>
      </c>
      <c r="AZ440" s="64">
        <v>0</v>
      </c>
      <c r="BA440" s="64">
        <v>0</v>
      </c>
      <c r="BB440" s="64">
        <v>0</v>
      </c>
      <c r="BC440" s="64"/>
      <c r="BD440" s="64">
        <v>406248.53806487995</v>
      </c>
      <c r="BE440" s="64">
        <v>0</v>
      </c>
      <c r="BF440" s="64"/>
      <c r="BG440" s="64">
        <v>0</v>
      </c>
      <c r="BH440" s="64">
        <v>0</v>
      </c>
      <c r="BI440" s="64">
        <v>0</v>
      </c>
      <c r="BJ440" s="64"/>
      <c r="BK440" s="65"/>
      <c r="BL440" s="66">
        <v>918025.91292012006</v>
      </c>
    </row>
    <row r="441" spans="1:64" x14ac:dyDescent="0.25">
      <c r="A441" s="141">
        <f t="shared" si="214"/>
        <v>423</v>
      </c>
      <c r="B441" s="142">
        <f t="shared" si="215"/>
        <v>235</v>
      </c>
      <c r="C441" s="62" t="s">
        <v>58</v>
      </c>
      <c r="D441" s="62" t="s">
        <v>982</v>
      </c>
      <c r="E441" s="123">
        <v>1988</v>
      </c>
      <c r="F441" s="123">
        <v>1988</v>
      </c>
      <c r="G441" s="123" t="s">
        <v>43</v>
      </c>
      <c r="H441" s="123">
        <v>5</v>
      </c>
      <c r="I441" s="123">
        <v>4</v>
      </c>
      <c r="J441" s="64">
        <v>5038.3999999999996</v>
      </c>
      <c r="K441" s="64">
        <v>3442.8</v>
      </c>
      <c r="L441" s="64">
        <v>1586</v>
      </c>
      <c r="M441" s="124">
        <v>156</v>
      </c>
      <c r="N441" s="95">
        <f t="shared" si="256"/>
        <v>24458262.938600004</v>
      </c>
      <c r="O441" s="64"/>
      <c r="P441" s="65">
        <f>+'Приложение №2'!E450-'Приложение №1'!R441-'Приложение №1'!S441</f>
        <v>7143822.512739202</v>
      </c>
      <c r="Q441" s="65"/>
      <c r="R441" s="65">
        <f>+AR441</f>
        <v>674709.6</v>
      </c>
      <c r="S441" s="65">
        <f>+AS441</f>
        <v>16639730.8258608</v>
      </c>
      <c r="T441" s="65">
        <f>+'Приложение №2'!E450-'Приложение №1'!P441-'Приложение №1'!Q441-'Приложение №1'!R441-'Приложение №1'!S441</f>
        <v>0</v>
      </c>
      <c r="U441" s="64">
        <f t="shared" si="263"/>
        <v>4863.6380326519256</v>
      </c>
      <c r="V441" s="64">
        <f t="shared" si="263"/>
        <v>4863.6380326519256</v>
      </c>
      <c r="W441" s="126">
        <v>2023</v>
      </c>
      <c r="X441" s="127" t="e">
        <f>+#REF!-'[1]Приложение №1'!$P1466</f>
        <v>#REF!</v>
      </c>
      <c r="Z441" s="63">
        <f t="shared" si="261"/>
        <v>50851543.909999996</v>
      </c>
      <c r="AA441" s="64">
        <v>12240570.226002298</v>
      </c>
      <c r="AB441" s="64">
        <v>4488649.7915120395</v>
      </c>
      <c r="AC441" s="64">
        <v>4689585.7163009401</v>
      </c>
      <c r="AD441" s="64">
        <v>0</v>
      </c>
      <c r="AE441" s="64">
        <v>0</v>
      </c>
      <c r="AF441" s="64"/>
      <c r="AG441" s="64">
        <v>404095.62569795997</v>
      </c>
      <c r="AH441" s="64">
        <v>0</v>
      </c>
      <c r="AI441" s="64">
        <v>23028460.340860799</v>
      </c>
      <c r="AJ441" s="64">
        <v>0</v>
      </c>
      <c r="AK441" s="64">
        <v>0</v>
      </c>
      <c r="AL441" s="64">
        <v>0</v>
      </c>
      <c r="AM441" s="64">
        <v>4510858.3295000009</v>
      </c>
      <c r="AN441" s="65">
        <v>508515.43910000008</v>
      </c>
      <c r="AO441" s="66">
        <v>980808.44102596026</v>
      </c>
      <c r="AP441" s="128">
        <f>+N441-'Приложение №2'!E450</f>
        <v>0</v>
      </c>
      <c r="AQ441" s="127">
        <f>2748459.05-R170</f>
        <v>-128443.95999999996</v>
      </c>
      <c r="AR441" s="25">
        <f t="shared" si="265"/>
        <v>674709.6</v>
      </c>
      <c r="AS441" s="25">
        <f>+(K441*10+L441*20)*12*30-S170</f>
        <v>16639730.8258608</v>
      </c>
      <c r="AT441" s="127">
        <f t="shared" si="260"/>
        <v>0</v>
      </c>
      <c r="AU441" s="127">
        <f>+P441-'[6]Приложение №1'!$P416</f>
        <v>0</v>
      </c>
      <c r="AV441" s="127">
        <f>+Q441-'[6]Приложение №1'!$Q416</f>
        <v>0</v>
      </c>
      <c r="AW441" s="63">
        <f t="shared" si="262"/>
        <v>24458262.938600004</v>
      </c>
      <c r="AX441" s="64">
        <v>13364467.924122002</v>
      </c>
      <c r="AY441" s="64">
        <v>4951357.8128279997</v>
      </c>
      <c r="AZ441" s="64">
        <v>5214934.7490660008</v>
      </c>
      <c r="BA441" s="64">
        <v>0</v>
      </c>
      <c r="BB441" s="64">
        <v>0</v>
      </c>
      <c r="BC441" s="64"/>
      <c r="BD441" s="64">
        <v>404095.62569795997</v>
      </c>
      <c r="BE441" s="64">
        <v>0</v>
      </c>
      <c r="BF441" s="64"/>
      <c r="BG441" s="64">
        <v>0</v>
      </c>
      <c r="BH441" s="64">
        <v>0</v>
      </c>
      <c r="BI441" s="64">
        <v>0</v>
      </c>
      <c r="BJ441" s="64"/>
      <c r="BK441" s="65"/>
      <c r="BL441" s="66">
        <v>523406.8268860401</v>
      </c>
    </row>
    <row r="442" spans="1:64" x14ac:dyDescent="0.25">
      <c r="A442" s="141">
        <f t="shared" si="214"/>
        <v>424</v>
      </c>
      <c r="B442" s="142">
        <f t="shared" si="215"/>
        <v>236</v>
      </c>
      <c r="C442" s="62" t="s">
        <v>58</v>
      </c>
      <c r="D442" s="62" t="s">
        <v>984</v>
      </c>
      <c r="E442" s="123">
        <v>1987</v>
      </c>
      <c r="F442" s="123">
        <v>1987</v>
      </c>
      <c r="G442" s="123" t="s">
        <v>43</v>
      </c>
      <c r="H442" s="123">
        <v>5</v>
      </c>
      <c r="I442" s="123">
        <v>1</v>
      </c>
      <c r="J442" s="64">
        <v>2928.7</v>
      </c>
      <c r="K442" s="64">
        <v>2372.1</v>
      </c>
      <c r="L442" s="64">
        <v>221.2</v>
      </c>
      <c r="M442" s="124">
        <v>125</v>
      </c>
      <c r="N442" s="95">
        <f t="shared" si="256"/>
        <v>10561545.689199999</v>
      </c>
      <c r="O442" s="64"/>
      <c r="P442" s="65">
        <v>3489956.9766666661</v>
      </c>
      <c r="Q442" s="65"/>
      <c r="R442" s="65">
        <f>+AR442</f>
        <v>287079</v>
      </c>
      <c r="S442" s="65">
        <f>+'Приложение №2'!E451-'Приложение №1'!P442-'Приложение №1'!R442</f>
        <v>6784509.7125333324</v>
      </c>
      <c r="T442" s="65">
        <f>+'Приложение №2'!E451-'Приложение №1'!P442-'Приложение №1'!Q442-'Приложение №1'!R442-'Приложение №1'!S442</f>
        <v>0</v>
      </c>
      <c r="U442" s="64">
        <f t="shared" ref="U442:V447" si="266">$N442/($K442+$L442)</f>
        <v>4072.6278059615161</v>
      </c>
      <c r="V442" s="64">
        <f t="shared" si="266"/>
        <v>4072.6278059615161</v>
      </c>
      <c r="W442" s="126">
        <v>2023</v>
      </c>
      <c r="X442" s="127" t="e">
        <f>+#REF!-'[1]Приложение №1'!$P1479</f>
        <v>#REF!</v>
      </c>
      <c r="Z442" s="63">
        <f t="shared" si="261"/>
        <v>25208513.880000003</v>
      </c>
      <c r="AA442" s="64">
        <v>6786587.4460183801</v>
      </c>
      <c r="AB442" s="64">
        <v>2488659.7441826407</v>
      </c>
      <c r="AC442" s="64">
        <v>0</v>
      </c>
      <c r="AD442" s="64">
        <v>0</v>
      </c>
      <c r="AE442" s="64">
        <v>0</v>
      </c>
      <c r="AF442" s="64"/>
      <c r="AG442" s="64">
        <v>224044.32360912001</v>
      </c>
      <c r="AH442" s="64">
        <v>0</v>
      </c>
      <c r="AI442" s="64">
        <v>12767759.748387001</v>
      </c>
      <c r="AJ442" s="64">
        <v>0</v>
      </c>
      <c r="AK442" s="64">
        <v>0</v>
      </c>
      <c r="AL442" s="64">
        <v>0</v>
      </c>
      <c r="AM442" s="64">
        <v>2202442.1663000002</v>
      </c>
      <c r="AN442" s="65">
        <v>252085.13879999999</v>
      </c>
      <c r="AO442" s="66">
        <v>486935.3127028601</v>
      </c>
      <c r="AP442" s="128">
        <f>+N442-'Приложение №2'!E451</f>
        <v>0</v>
      </c>
      <c r="AQ442" s="127">
        <f>1039812.33</f>
        <v>1039812.33</v>
      </c>
      <c r="AR442" s="25">
        <f t="shared" si="265"/>
        <v>287079</v>
      </c>
      <c r="AS442" s="25">
        <f>+(K442*10+L442*20)*12*30</f>
        <v>10132200</v>
      </c>
      <c r="AT442" s="127">
        <f t="shared" si="260"/>
        <v>-3347690.2874666676</v>
      </c>
      <c r="AU442" s="127">
        <f>+P442-'[6]Приложение №1'!$P418</f>
        <v>0</v>
      </c>
      <c r="AV442" s="127">
        <f>+Q442-'[6]Приложение №1'!$Q418</f>
        <v>0</v>
      </c>
      <c r="AW442" s="63">
        <f t="shared" si="262"/>
        <v>10561545.689199999</v>
      </c>
      <c r="AX442" s="64">
        <v>7387365.7431419995</v>
      </c>
      <c r="AY442" s="64">
        <v>2724118.5447</v>
      </c>
      <c r="AZ442" s="64">
        <v>0</v>
      </c>
      <c r="BA442" s="64">
        <v>0</v>
      </c>
      <c r="BB442" s="64">
        <v>0</v>
      </c>
      <c r="BC442" s="64"/>
      <c r="BD442" s="64">
        <v>224044.32360912001</v>
      </c>
      <c r="BE442" s="64">
        <v>0</v>
      </c>
      <c r="BF442" s="64"/>
      <c r="BG442" s="64">
        <v>0</v>
      </c>
      <c r="BH442" s="64">
        <v>0</v>
      </c>
      <c r="BI442" s="64">
        <v>0</v>
      </c>
      <c r="BJ442" s="64"/>
      <c r="BK442" s="65"/>
      <c r="BL442" s="66">
        <v>226017.07774887996</v>
      </c>
    </row>
    <row r="443" spans="1:64" x14ac:dyDescent="0.25">
      <c r="A443" s="141">
        <f t="shared" si="214"/>
        <v>425</v>
      </c>
      <c r="B443" s="142">
        <f t="shared" si="215"/>
        <v>237</v>
      </c>
      <c r="C443" s="62" t="s">
        <v>58</v>
      </c>
      <c r="D443" s="62" t="s">
        <v>985</v>
      </c>
      <c r="E443" s="123">
        <v>1987</v>
      </c>
      <c r="F443" s="123">
        <v>1987</v>
      </c>
      <c r="G443" s="123" t="s">
        <v>43</v>
      </c>
      <c r="H443" s="123">
        <v>5</v>
      </c>
      <c r="I443" s="123">
        <v>4</v>
      </c>
      <c r="J443" s="64">
        <v>4891.3999999999996</v>
      </c>
      <c r="K443" s="64">
        <v>4293.1000000000004</v>
      </c>
      <c r="L443" s="64">
        <v>598.29999999999995</v>
      </c>
      <c r="M443" s="124">
        <v>199</v>
      </c>
      <c r="N443" s="95">
        <f t="shared" si="256"/>
        <v>28815163.8424908</v>
      </c>
      <c r="O443" s="64"/>
      <c r="P443" s="65">
        <f>+'Приложение №2'!E452-'Приложение №1'!R443-'Приложение №1'!S443</f>
        <v>6483712.7524907999</v>
      </c>
      <c r="Q443" s="65"/>
      <c r="R443" s="65">
        <f>+AQ443+AR443</f>
        <v>2568531.09</v>
      </c>
      <c r="S443" s="65">
        <f t="shared" ref="S443:S444" si="267">+AS443</f>
        <v>19762920</v>
      </c>
      <c r="T443" s="65">
        <f>+'Приложение №2'!E452-'Приложение №1'!P443-'Приложение №1'!Q443-'Приложение №1'!R443-'Приложение №1'!S443</f>
        <v>0</v>
      </c>
      <c r="U443" s="64">
        <f t="shared" si="266"/>
        <v>5890.9849618699755</v>
      </c>
      <c r="V443" s="64">
        <f t="shared" si="266"/>
        <v>5890.9849618699755</v>
      </c>
      <c r="W443" s="126">
        <v>2023</v>
      </c>
      <c r="X443" s="127" t="e">
        <f>+#REF!-'[1]Приложение №1'!$P1634</f>
        <v>#REF!</v>
      </c>
      <c r="Z443" s="63">
        <f t="shared" si="261"/>
        <v>19345683.869999997</v>
      </c>
      <c r="AA443" s="64">
        <v>12256587.796574939</v>
      </c>
      <c r="AB443" s="64">
        <v>4494523.4791594204</v>
      </c>
      <c r="AC443" s="64">
        <v>0</v>
      </c>
      <c r="AD443" s="64">
        <v>0</v>
      </c>
      <c r="AE443" s="64">
        <v>0</v>
      </c>
      <c r="AF443" s="64"/>
      <c r="AG443" s="64">
        <v>404624.41455659998</v>
      </c>
      <c r="AH443" s="64">
        <v>0</v>
      </c>
      <c r="AI443" s="64">
        <v>0</v>
      </c>
      <c r="AJ443" s="64">
        <v>0</v>
      </c>
      <c r="AK443" s="64">
        <v>0</v>
      </c>
      <c r="AL443" s="64">
        <v>0</v>
      </c>
      <c r="AM443" s="64">
        <v>1621330.1477000001</v>
      </c>
      <c r="AN443" s="65">
        <v>193456.83870000002</v>
      </c>
      <c r="AO443" s="66">
        <v>375161.19330903998</v>
      </c>
      <c r="AP443" s="128">
        <f>+N443-'Приложение №2'!E452</f>
        <v>0</v>
      </c>
      <c r="AQ443" s="23">
        <v>2008581.69</v>
      </c>
      <c r="AR443" s="25">
        <f t="shared" si="265"/>
        <v>559949.4</v>
      </c>
      <c r="AS443" s="25">
        <f>+(K443*10+L443*20)*12*30</f>
        <v>19762920</v>
      </c>
      <c r="AT443" s="127">
        <f t="shared" si="260"/>
        <v>0</v>
      </c>
      <c r="AU443" s="127">
        <f>+P443-'[6]Приложение №1'!$P419</f>
        <v>0</v>
      </c>
      <c r="AV443" s="127">
        <f>+Q443-'[6]Приложение №1'!$Q419</f>
        <v>0</v>
      </c>
      <c r="AW443" s="63">
        <f t="shared" si="262"/>
        <v>28815163.8424908</v>
      </c>
      <c r="AX443" s="64">
        <v>13389086.339243999</v>
      </c>
      <c r="AY443" s="64">
        <v>4961562.7514880002</v>
      </c>
      <c r="AZ443" s="64">
        <v>0</v>
      </c>
      <c r="BA443" s="64">
        <v>0</v>
      </c>
      <c r="BB443" s="64">
        <v>0</v>
      </c>
      <c r="BC443" s="64"/>
      <c r="BD443" s="64">
        <v>404624.41455659998</v>
      </c>
      <c r="BE443" s="64">
        <v>0</v>
      </c>
      <c r="BF443" s="64">
        <v>9145505.7300000004</v>
      </c>
      <c r="BG443" s="64">
        <v>0</v>
      </c>
      <c r="BH443" s="64">
        <v>0</v>
      </c>
      <c r="BI443" s="64">
        <v>0</v>
      </c>
      <c r="BJ443" s="64"/>
      <c r="BK443" s="65"/>
      <c r="BL443" s="66">
        <v>914384.60720219999</v>
      </c>
    </row>
    <row r="444" spans="1:64" x14ac:dyDescent="0.25">
      <c r="A444" s="141">
        <f t="shared" si="214"/>
        <v>426</v>
      </c>
      <c r="B444" s="142">
        <f t="shared" si="215"/>
        <v>238</v>
      </c>
      <c r="C444" s="62" t="s">
        <v>58</v>
      </c>
      <c r="D444" s="62" t="s">
        <v>983</v>
      </c>
      <c r="E444" s="123">
        <v>1986</v>
      </c>
      <c r="F444" s="123">
        <v>1986</v>
      </c>
      <c r="G444" s="123" t="s">
        <v>43</v>
      </c>
      <c r="H444" s="123">
        <v>5</v>
      </c>
      <c r="I444" s="123">
        <v>4</v>
      </c>
      <c r="J444" s="64">
        <v>4691.8999999999996</v>
      </c>
      <c r="K444" s="64">
        <v>4321.1000000000004</v>
      </c>
      <c r="L444" s="64">
        <v>298</v>
      </c>
      <c r="M444" s="124">
        <v>195</v>
      </c>
      <c r="N444" s="95">
        <f t="shared" si="256"/>
        <v>17059045.641933002</v>
      </c>
      <c r="O444" s="64"/>
      <c r="P444" s="65">
        <v>5099425.17</v>
      </c>
      <c r="Q444" s="65"/>
      <c r="R444" s="65">
        <f>+AQ444+AR444</f>
        <v>1322918.1599999999</v>
      </c>
      <c r="S444" s="65">
        <f t="shared" si="267"/>
        <v>6767397.514069479</v>
      </c>
      <c r="T444" s="65">
        <f>+'Приложение №2'!E453-'Приложение №1'!P444-'Приложение №1'!Q444-'Приложение №1'!R444-'Приложение №1'!S444</f>
        <v>3869304.7978635225</v>
      </c>
      <c r="U444" s="64">
        <f t="shared" si="266"/>
        <v>3693.1535671306101</v>
      </c>
      <c r="V444" s="64">
        <f t="shared" si="266"/>
        <v>3693.1535671306101</v>
      </c>
      <c r="W444" s="126">
        <v>2023</v>
      </c>
      <c r="X444" s="127" t="e">
        <f>+#REF!-'[1]Приложение №1'!$P1635</f>
        <v>#REF!</v>
      </c>
      <c r="Z444" s="63">
        <f t="shared" si="261"/>
        <v>19513628.469999999</v>
      </c>
      <c r="AA444" s="64">
        <v>12362990.22966462</v>
      </c>
      <c r="AB444" s="64">
        <v>4533541.53030576</v>
      </c>
      <c r="AC444" s="64">
        <v>0</v>
      </c>
      <c r="AD444" s="64">
        <v>0</v>
      </c>
      <c r="AE444" s="64">
        <v>0</v>
      </c>
      <c r="AF444" s="64"/>
      <c r="AG444" s="64">
        <v>408137.05600247998</v>
      </c>
      <c r="AH444" s="64">
        <v>0</v>
      </c>
      <c r="AI444" s="64">
        <v>0</v>
      </c>
      <c r="AJ444" s="64">
        <v>0</v>
      </c>
      <c r="AK444" s="64">
        <v>0</v>
      </c>
      <c r="AL444" s="64">
        <v>0</v>
      </c>
      <c r="AM444" s="64">
        <v>1635405.3101999999</v>
      </c>
      <c r="AN444" s="65">
        <v>195136.28469999999</v>
      </c>
      <c r="AO444" s="66">
        <v>378418.05912714003</v>
      </c>
      <c r="AP444" s="128">
        <f>+N444-'Приложение №2'!E453</f>
        <v>0</v>
      </c>
      <c r="AQ444" s="127">
        <f>1886055.9-R171</f>
        <v>821373.96</v>
      </c>
      <c r="AR444" s="25">
        <f t="shared" si="265"/>
        <v>501544.2</v>
      </c>
      <c r="AS444" s="25">
        <f>+(K444*10+L444*20)*12*30-S171</f>
        <v>6767397.514069479</v>
      </c>
      <c r="AT444" s="127">
        <f t="shared" si="260"/>
        <v>0</v>
      </c>
      <c r="AU444" s="127">
        <f>+P444-'[6]Приложение №1'!$P420</f>
        <v>-5030178.2581183314</v>
      </c>
      <c r="AV444" s="127">
        <f>+Q444-'[6]Приложение №1'!$Q420</f>
        <v>0</v>
      </c>
      <c r="AW444" s="63">
        <f t="shared" si="262"/>
        <v>17059045.641933002</v>
      </c>
      <c r="AX444" s="64">
        <v>10856660.689999999</v>
      </c>
      <c r="AY444" s="64">
        <v>4871890.16</v>
      </c>
      <c r="AZ444" s="64">
        <v>0</v>
      </c>
      <c r="BA444" s="64">
        <v>0</v>
      </c>
      <c r="BB444" s="64">
        <v>0</v>
      </c>
      <c r="BC444" s="64"/>
      <c r="BD444" s="64">
        <v>408137.05600247998</v>
      </c>
      <c r="BE444" s="64">
        <v>0</v>
      </c>
      <c r="BF444" s="64"/>
      <c r="BG444" s="64">
        <v>0</v>
      </c>
      <c r="BH444" s="64">
        <v>0</v>
      </c>
      <c r="BI444" s="64">
        <v>0</v>
      </c>
      <c r="BJ444" s="64"/>
      <c r="BK444" s="65"/>
      <c r="BL444" s="66">
        <v>922357.73593051999</v>
      </c>
    </row>
    <row r="445" spans="1:64" x14ac:dyDescent="0.25">
      <c r="A445" s="141">
        <f t="shared" si="214"/>
        <v>427</v>
      </c>
      <c r="B445" s="142">
        <f t="shared" si="215"/>
        <v>239</v>
      </c>
      <c r="C445" s="62" t="s">
        <v>60</v>
      </c>
      <c r="D445" s="62" t="s">
        <v>865</v>
      </c>
      <c r="E445" s="123">
        <v>1989</v>
      </c>
      <c r="F445" s="123">
        <v>2013</v>
      </c>
      <c r="G445" s="123" t="s">
        <v>43</v>
      </c>
      <c r="H445" s="123">
        <v>4</v>
      </c>
      <c r="I445" s="123">
        <v>2</v>
      </c>
      <c r="J445" s="64">
        <v>1529.1</v>
      </c>
      <c r="K445" s="64">
        <v>1348.1</v>
      </c>
      <c r="L445" s="64">
        <v>0</v>
      </c>
      <c r="M445" s="124">
        <v>46</v>
      </c>
      <c r="N445" s="95">
        <f t="shared" si="256"/>
        <v>7441099.7124260003</v>
      </c>
      <c r="O445" s="64"/>
      <c r="P445" s="65">
        <v>1104159.1966666665</v>
      </c>
      <c r="Q445" s="65"/>
      <c r="R445" s="65">
        <f t="shared" ref="R445:R465" si="268">+AQ445+AR445</f>
        <v>716576.24</v>
      </c>
      <c r="S445" s="65">
        <f>+AS445</f>
        <v>4853160</v>
      </c>
      <c r="T445" s="65">
        <f>+'Приложение №2'!E454-'Приложение №1'!P445-'Приложение №1'!Q445-'Приложение №1'!R445-'Приложение №1'!S445</f>
        <v>767204.27575933374</v>
      </c>
      <c r="U445" s="64">
        <f t="shared" si="266"/>
        <v>5519.6941713715605</v>
      </c>
      <c r="V445" s="64">
        <f t="shared" si="266"/>
        <v>5519.6941713715605</v>
      </c>
      <c r="W445" s="126">
        <v>2023</v>
      </c>
      <c r="X445" s="127" t="e">
        <f>+#REF!-'[1]Приложение №1'!$P1679</f>
        <v>#REF!</v>
      </c>
      <c r="Z445" s="63">
        <f t="shared" ref="Z445:Z475" si="269">SUM(AA445:AO445)</f>
        <v>12006150.48</v>
      </c>
      <c r="AA445" s="64">
        <v>2778320.4092007005</v>
      </c>
      <c r="AB445" s="64">
        <v>1283573.09968482</v>
      </c>
      <c r="AC445" s="64">
        <v>0</v>
      </c>
      <c r="AD445" s="64">
        <v>0</v>
      </c>
      <c r="AE445" s="64">
        <v>0</v>
      </c>
      <c r="AF445" s="64"/>
      <c r="AG445" s="64">
        <v>0</v>
      </c>
      <c r="AH445" s="64">
        <v>0</v>
      </c>
      <c r="AI445" s="64">
        <v>6528512.2887180001</v>
      </c>
      <c r="AJ445" s="64">
        <v>0</v>
      </c>
      <c r="AK445" s="64">
        <v>0</v>
      </c>
      <c r="AL445" s="64">
        <v>0</v>
      </c>
      <c r="AM445" s="64">
        <v>1064092.452</v>
      </c>
      <c r="AN445" s="65">
        <v>120061.50480000001</v>
      </c>
      <c r="AO445" s="66">
        <v>231590.72559648004</v>
      </c>
      <c r="AP445" s="128">
        <f>+N445-'Приложение №2'!E454</f>
        <v>0</v>
      </c>
      <c r="AQ445" s="23">
        <v>579070.04</v>
      </c>
      <c r="AR445" s="25">
        <f t="shared" ref="AR445:AR457" si="270">+(K445*10+L445*20)*12*0.85</f>
        <v>137506.19999999998</v>
      </c>
      <c r="AS445" s="25">
        <f>+(K445*10+L445*20)*12*30</f>
        <v>4853160</v>
      </c>
      <c r="AT445" s="127">
        <f t="shared" si="260"/>
        <v>0</v>
      </c>
      <c r="AU445" s="127">
        <f>+P445-'[6]Приложение №1'!$P431</f>
        <v>0</v>
      </c>
      <c r="AV445" s="127">
        <f>+Q445-'[6]Приложение №1'!$Q431</f>
        <v>0</v>
      </c>
      <c r="AW445" s="63">
        <f t="shared" si="262"/>
        <v>7441099.7124260003</v>
      </c>
      <c r="AX445" s="64"/>
      <c r="AY445" s="64">
        <v>539640.37</v>
      </c>
      <c r="AZ445" s="64">
        <v>0</v>
      </c>
      <c r="BA445" s="64">
        <v>0</v>
      </c>
      <c r="BB445" s="64">
        <v>0</v>
      </c>
      <c r="BC445" s="64"/>
      <c r="BD445" s="64"/>
      <c r="BE445" s="64">
        <v>0</v>
      </c>
      <c r="BF445" s="64">
        <v>6713480.5099999998</v>
      </c>
      <c r="BG445" s="64">
        <v>0</v>
      </c>
      <c r="BH445" s="64">
        <v>0</v>
      </c>
      <c r="BI445" s="64">
        <v>0</v>
      </c>
      <c r="BJ445" s="64"/>
      <c r="BK445" s="65"/>
      <c r="BL445" s="66">
        <v>187978.83242600004</v>
      </c>
    </row>
    <row r="446" spans="1:64" x14ac:dyDescent="0.25">
      <c r="A446" s="141">
        <f t="shared" si="214"/>
        <v>428</v>
      </c>
      <c r="B446" s="142">
        <f t="shared" si="215"/>
        <v>240</v>
      </c>
      <c r="C446" s="62" t="s">
        <v>60</v>
      </c>
      <c r="D446" s="62" t="s">
        <v>866</v>
      </c>
      <c r="E446" s="123">
        <v>1992</v>
      </c>
      <c r="F446" s="123">
        <v>2013</v>
      </c>
      <c r="G446" s="123" t="s">
        <v>43</v>
      </c>
      <c r="H446" s="123">
        <v>5</v>
      </c>
      <c r="I446" s="123">
        <v>3</v>
      </c>
      <c r="J446" s="64">
        <v>3334.6</v>
      </c>
      <c r="K446" s="64">
        <v>2949.9</v>
      </c>
      <c r="L446" s="64">
        <v>0</v>
      </c>
      <c r="M446" s="124">
        <v>91</v>
      </c>
      <c r="N446" s="95">
        <f t="shared" si="256"/>
        <v>17965449.162177999</v>
      </c>
      <c r="O446" s="64"/>
      <c r="P446" s="65">
        <v>3312889.3466666671</v>
      </c>
      <c r="Q446" s="65"/>
      <c r="R446" s="65">
        <f t="shared" si="268"/>
        <v>1493518.79</v>
      </c>
      <c r="S446" s="65">
        <f>+AS446</f>
        <v>10619640</v>
      </c>
      <c r="T446" s="65">
        <f>+'Приложение №2'!E455-'Приложение №1'!P446-'Приложение №1'!Q446-'Приложение №1'!R446-'Приложение №1'!S446</f>
        <v>2539401.0255113319</v>
      </c>
      <c r="U446" s="64">
        <f t="shared" si="266"/>
        <v>6090.1892139319971</v>
      </c>
      <c r="V446" s="64">
        <f t="shared" si="266"/>
        <v>6090.1892139319971</v>
      </c>
      <c r="W446" s="126">
        <v>2023</v>
      </c>
      <c r="X446" s="127" t="e">
        <f>+#REF!-'[1]Приложение №1'!$P1681</f>
        <v>#REF!</v>
      </c>
      <c r="Z446" s="63">
        <f t="shared" si="269"/>
        <v>24232773.930000003</v>
      </c>
      <c r="AA446" s="64">
        <v>6144661.3698833995</v>
      </c>
      <c r="AB446" s="64">
        <v>2838809.3808026402</v>
      </c>
      <c r="AC446" s="64">
        <v>2875834.3669440001</v>
      </c>
      <c r="AD446" s="64">
        <v>1857721.65669048</v>
      </c>
      <c r="AE446" s="64">
        <v>0</v>
      </c>
      <c r="AF446" s="64"/>
      <c r="AG446" s="64">
        <v>0</v>
      </c>
      <c r="AH446" s="64">
        <v>0</v>
      </c>
      <c r="AI446" s="64">
        <v>0</v>
      </c>
      <c r="AJ446" s="64">
        <v>0</v>
      </c>
      <c r="AK446" s="64">
        <v>7458847.8699054606</v>
      </c>
      <c r="AL446" s="64">
        <v>0</v>
      </c>
      <c r="AM446" s="64">
        <v>2351498.0564000001</v>
      </c>
      <c r="AN446" s="65">
        <v>242327.73930000002</v>
      </c>
      <c r="AO446" s="66">
        <v>463073.49007401994</v>
      </c>
      <c r="AP446" s="128">
        <f>+N446-'Приложение №2'!E455</f>
        <v>0</v>
      </c>
      <c r="AQ446" s="23">
        <v>1192628.99</v>
      </c>
      <c r="AR446" s="25">
        <f t="shared" si="270"/>
        <v>300889.8</v>
      </c>
      <c r="AS446" s="25">
        <f>+(K446*10+L446*20)*12*30</f>
        <v>10619640</v>
      </c>
      <c r="AT446" s="127">
        <f t="shared" si="260"/>
        <v>0</v>
      </c>
      <c r="AU446" s="127">
        <f>+P446-'[6]Приложение №1'!$P433</f>
        <v>0</v>
      </c>
      <c r="AV446" s="127">
        <f>+Q446-'[6]Приложение №1'!$Q433</f>
        <v>0</v>
      </c>
      <c r="AW446" s="63">
        <f t="shared" si="262"/>
        <v>17965449.162177999</v>
      </c>
      <c r="AX446" s="64">
        <v>6428842.3899999997</v>
      </c>
      <c r="AY446" s="64">
        <v>1825378.91</v>
      </c>
      <c r="AZ446" s="64">
        <v>1830078.26</v>
      </c>
      <c r="BA446" s="64"/>
      <c r="BB446" s="64">
        <v>0</v>
      </c>
      <c r="BC446" s="64"/>
      <c r="BD446" s="64"/>
      <c r="BE446" s="64">
        <v>0</v>
      </c>
      <c r="BF446" s="64">
        <v>0</v>
      </c>
      <c r="BG446" s="64">
        <v>0</v>
      </c>
      <c r="BH446" s="64">
        <v>7416801.1399999997</v>
      </c>
      <c r="BI446" s="64">
        <v>0</v>
      </c>
      <c r="BJ446" s="64"/>
      <c r="BK446" s="65"/>
      <c r="BL446" s="66">
        <v>464348.46217800002</v>
      </c>
    </row>
    <row r="447" spans="1:64" x14ac:dyDescent="0.25">
      <c r="A447" s="141">
        <f t="shared" si="214"/>
        <v>429</v>
      </c>
      <c r="B447" s="142">
        <f t="shared" si="215"/>
        <v>241</v>
      </c>
      <c r="C447" s="62" t="s">
        <v>60</v>
      </c>
      <c r="D447" s="62" t="s">
        <v>869</v>
      </c>
      <c r="E447" s="123">
        <v>1988</v>
      </c>
      <c r="F447" s="123">
        <v>2013</v>
      </c>
      <c r="G447" s="123" t="s">
        <v>43</v>
      </c>
      <c r="H447" s="123">
        <v>3</v>
      </c>
      <c r="I447" s="123">
        <v>3</v>
      </c>
      <c r="J447" s="64">
        <v>1390.3</v>
      </c>
      <c r="K447" s="64">
        <v>1293.32</v>
      </c>
      <c r="L447" s="64">
        <v>0</v>
      </c>
      <c r="M447" s="124">
        <v>45</v>
      </c>
      <c r="N447" s="95">
        <f t="shared" si="256"/>
        <v>9321568.8579660002</v>
      </c>
      <c r="O447" s="64"/>
      <c r="P447" s="65">
        <v>3324827.2333333329</v>
      </c>
      <c r="Q447" s="65"/>
      <c r="R447" s="65">
        <f t="shared" si="268"/>
        <v>444526.31000000006</v>
      </c>
      <c r="S447" s="65">
        <f>+AS447</f>
        <v>3594082.05</v>
      </c>
      <c r="T447" s="65">
        <f>+'Приложение №2'!E456-'Приложение №1'!P447-'Приложение №1'!Q447-'Приложение №1'!R447-'Приложение №1'!S447</f>
        <v>1958133.2646326674</v>
      </c>
      <c r="U447" s="64">
        <f t="shared" si="266"/>
        <v>7207.4729053644887</v>
      </c>
      <c r="V447" s="64">
        <f t="shared" si="266"/>
        <v>7207.4729053644887</v>
      </c>
      <c r="W447" s="126">
        <v>2023</v>
      </c>
      <c r="X447" s="127" t="e">
        <f>+#REF!-'[1]Приложение №1'!$P1253</f>
        <v>#REF!</v>
      </c>
      <c r="Z447" s="63">
        <f t="shared" si="269"/>
        <v>25655177.409999996</v>
      </c>
      <c r="AA447" s="64">
        <v>0</v>
      </c>
      <c r="AB447" s="64">
        <v>0</v>
      </c>
      <c r="AC447" s="64">
        <v>0</v>
      </c>
      <c r="AD447" s="64">
        <v>0</v>
      </c>
      <c r="AE447" s="64">
        <v>0</v>
      </c>
      <c r="AF447" s="64"/>
      <c r="AG447" s="64">
        <v>0</v>
      </c>
      <c r="AH447" s="64">
        <v>0</v>
      </c>
      <c r="AI447" s="64">
        <v>12294937.7469324</v>
      </c>
      <c r="AJ447" s="64">
        <v>0</v>
      </c>
      <c r="AK447" s="64">
        <v>10186152.058427099</v>
      </c>
      <c r="AL447" s="64">
        <v>0</v>
      </c>
      <c r="AM447" s="64">
        <v>2425919.9283999996</v>
      </c>
      <c r="AN447" s="65">
        <v>256551.77410000001</v>
      </c>
      <c r="AO447" s="66">
        <v>491615.90214050008</v>
      </c>
      <c r="AP447" s="128">
        <f>+N447-'Приложение №2'!E456</f>
        <v>0</v>
      </c>
      <c r="AQ447" s="23">
        <f>536959.76-224352.09</f>
        <v>312607.67000000004</v>
      </c>
      <c r="AR447" s="25">
        <f t="shared" si="270"/>
        <v>131918.63999999998</v>
      </c>
      <c r="AS447" s="25">
        <f>+(K447*10+L447*20)*12*30-1061869.95</f>
        <v>3594082.05</v>
      </c>
      <c r="AT447" s="127">
        <f t="shared" si="260"/>
        <v>0</v>
      </c>
      <c r="AU447" s="127">
        <f>+P447-'[6]Приложение №1'!$P436</f>
        <v>0</v>
      </c>
      <c r="AV447" s="127">
        <f>+Q447-'[6]Приложение №1'!$Q436</f>
        <v>0</v>
      </c>
      <c r="AW447" s="63">
        <f t="shared" si="262"/>
        <v>9321568.8579660002</v>
      </c>
      <c r="AX447" s="64">
        <v>0</v>
      </c>
      <c r="AY447" s="64">
        <v>0</v>
      </c>
      <c r="AZ447" s="64">
        <v>0</v>
      </c>
      <c r="BA447" s="64">
        <v>0</v>
      </c>
      <c r="BB447" s="64">
        <v>0</v>
      </c>
      <c r="BC447" s="64"/>
      <c r="BD447" s="64"/>
      <c r="BE447" s="64">
        <v>0</v>
      </c>
      <c r="BF447" s="64">
        <v>9023845.8800000008</v>
      </c>
      <c r="BG447" s="64">
        <v>0</v>
      </c>
      <c r="BH447" s="64"/>
      <c r="BI447" s="64">
        <v>0</v>
      </c>
      <c r="BJ447" s="64"/>
      <c r="BK447" s="65"/>
      <c r="BL447" s="66">
        <v>297722.97796599998</v>
      </c>
    </row>
    <row r="448" spans="1:64" s="74" customFormat="1" x14ac:dyDescent="0.25">
      <c r="A448" s="141">
        <f t="shared" si="214"/>
        <v>430</v>
      </c>
      <c r="B448" s="142">
        <f t="shared" si="215"/>
        <v>242</v>
      </c>
      <c r="C448" s="62" t="s">
        <v>136</v>
      </c>
      <c r="D448" s="62" t="s">
        <v>878</v>
      </c>
      <c r="E448" s="123" t="s">
        <v>121</v>
      </c>
      <c r="F448" s="123" t="s">
        <v>121</v>
      </c>
      <c r="G448" s="123" t="s">
        <v>43</v>
      </c>
      <c r="H448" s="123" t="s">
        <v>105</v>
      </c>
      <c r="I448" s="123" t="s">
        <v>105</v>
      </c>
      <c r="J448" s="64">
        <v>2120.65</v>
      </c>
      <c r="K448" s="64">
        <v>1602.1</v>
      </c>
      <c r="L448" s="64">
        <v>58.3</v>
      </c>
      <c r="M448" s="124">
        <v>76</v>
      </c>
      <c r="N448" s="63">
        <f t="shared" ref="N448:N455" si="271">SUM(O448:T448)</f>
        <v>6161971.9008879205</v>
      </c>
      <c r="O448" s="64">
        <v>0</v>
      </c>
      <c r="P448" s="65"/>
      <c r="Q448" s="65">
        <v>0</v>
      </c>
      <c r="R448" s="65">
        <f t="shared" si="268"/>
        <v>871473.58000000007</v>
      </c>
      <c r="S448" s="65">
        <f>+'Приложение №2'!E457-'Приложение №1'!R448</f>
        <v>5290498.3208879204</v>
      </c>
      <c r="T448" s="65">
        <f>+'Приложение №2'!E457-'Приложение №1'!P448-'Приложение №1'!R448-'Приложение №1'!S448</f>
        <v>0</v>
      </c>
      <c r="U448" s="65">
        <f t="shared" ref="U448:U455" si="272">N448/K448</f>
        <v>3846.1843211334631</v>
      </c>
      <c r="V448" s="65">
        <v>1413.2830200640001</v>
      </c>
      <c r="W448" s="126">
        <v>2023</v>
      </c>
      <c r="X448" s="74">
        <v>421077.31</v>
      </c>
      <c r="Y448" s="74">
        <f t="shared" ref="Y448:Y455" si="273">+(K448*9.1+L448*18.19)*12</f>
        <v>187675.04399999999</v>
      </c>
      <c r="AA448" s="129">
        <f>+N448-'[5]Приложение № 2'!E439</f>
        <v>6161971.9008879205</v>
      </c>
      <c r="AD448" s="129">
        <f>+N448-'[5]Приложение № 2'!E439</f>
        <v>6161971.9008879205</v>
      </c>
      <c r="AP448" s="128">
        <f>+N448-'Приложение №2'!E457</f>
        <v>0</v>
      </c>
      <c r="AQ448" s="38">
        <v>687400.81</v>
      </c>
      <c r="AR448" s="25">
        <f t="shared" ref="AR448:AR455" si="274">+(K448*10.5+L448*21)*12*0.85</f>
        <v>184072.77</v>
      </c>
      <c r="AS448" s="25">
        <f t="shared" ref="AS448:AS453" si="275">+(K448*10.5+L448*21)*12*30</f>
        <v>6496685.9999999991</v>
      </c>
      <c r="AT448" s="127">
        <f t="shared" si="260"/>
        <v>-1206187.6791120786</v>
      </c>
      <c r="AU448" s="127">
        <f>+P448-'[6]Приложение №1'!$P473</f>
        <v>-3488737.6475839727</v>
      </c>
      <c r="AV448" s="127">
        <f>+Q448-'[6]Приложение №1'!$Q473</f>
        <v>0</v>
      </c>
      <c r="AW448" s="88">
        <f t="shared" si="262"/>
        <v>6161971.9008879205</v>
      </c>
      <c r="AX448" s="64"/>
      <c r="AY448" s="64">
        <v>2560521.6985019348</v>
      </c>
      <c r="AZ448" s="64">
        <v>2678283.0435968651</v>
      </c>
      <c r="BA448" s="64"/>
      <c r="BB448" s="64">
        <v>0</v>
      </c>
      <c r="BC448" s="64"/>
      <c r="BD448" s="64"/>
      <c r="BE448" s="64"/>
      <c r="BF448" s="64"/>
      <c r="BG448" s="64"/>
      <c r="BH448" s="64"/>
      <c r="BI448" s="64"/>
      <c r="BJ448" s="64">
        <v>766420.45197882829</v>
      </c>
      <c r="BK448" s="65"/>
      <c r="BL448" s="66">
        <v>156746.70681029282</v>
      </c>
    </row>
    <row r="449" spans="1:64" s="74" customFormat="1" x14ac:dyDescent="0.25">
      <c r="A449" s="141">
        <f t="shared" si="214"/>
        <v>431</v>
      </c>
      <c r="B449" s="142">
        <f t="shared" si="215"/>
        <v>243</v>
      </c>
      <c r="C449" s="62" t="s">
        <v>136</v>
      </c>
      <c r="D449" s="62" t="s">
        <v>879</v>
      </c>
      <c r="E449" s="123" t="s">
        <v>121</v>
      </c>
      <c r="F449" s="123" t="s">
        <v>121</v>
      </c>
      <c r="G449" s="123" t="s">
        <v>43</v>
      </c>
      <c r="H449" s="123" t="s">
        <v>105</v>
      </c>
      <c r="I449" s="123" t="s">
        <v>105</v>
      </c>
      <c r="J449" s="64">
        <v>2747.6</v>
      </c>
      <c r="K449" s="64">
        <v>2270.63</v>
      </c>
      <c r="L449" s="64">
        <v>217.6</v>
      </c>
      <c r="M449" s="124">
        <v>95</v>
      </c>
      <c r="N449" s="63">
        <f t="shared" si="271"/>
        <v>15250257.820993347</v>
      </c>
      <c r="O449" s="64">
        <v>0</v>
      </c>
      <c r="P449" s="65">
        <v>1455759.210889759</v>
      </c>
      <c r="Q449" s="65">
        <v>0</v>
      </c>
      <c r="R449" s="65">
        <f t="shared" si="268"/>
        <v>1168307.8429999999</v>
      </c>
      <c r="S449" s="65">
        <f t="shared" ref="S449:S453" si="276">+AS449</f>
        <v>10228037.4</v>
      </c>
      <c r="T449" s="65">
        <f>+'Приложение №2'!E458-'Приложение №1'!P449-'Приложение №1'!R449-'Приложение №1'!S449</f>
        <v>2398153.3671035878</v>
      </c>
      <c r="U449" s="65">
        <f t="shared" si="272"/>
        <v>6716.3112532615824</v>
      </c>
      <c r="V449" s="65">
        <v>1414.2830200640001</v>
      </c>
      <c r="W449" s="126">
        <v>2023</v>
      </c>
      <c r="X449" s="74">
        <v>551877.51</v>
      </c>
      <c r="Y449" s="74">
        <f t="shared" si="273"/>
        <v>295450.52399999998</v>
      </c>
      <c r="AA449" s="129">
        <f>+N449-'[5]Приложение № 2'!E440</f>
        <v>15250257.820993347</v>
      </c>
      <c r="AD449" s="129">
        <f>+N449-'[5]Приложение № 2'!E440</f>
        <v>15250257.820993347</v>
      </c>
      <c r="AP449" s="128">
        <f>+N449-'Приложение №2'!E458</f>
        <v>0</v>
      </c>
      <c r="AQ449" s="38">
        <v>878513.45</v>
      </c>
      <c r="AR449" s="25">
        <f t="shared" si="274"/>
        <v>289794.39299999998</v>
      </c>
      <c r="AS449" s="25">
        <f t="shared" si="275"/>
        <v>10228037.4</v>
      </c>
      <c r="AT449" s="127">
        <f t="shared" si="260"/>
        <v>0</v>
      </c>
      <c r="AU449" s="127">
        <f>+P449-'[6]Приложение №1'!$P474</f>
        <v>1455759.210889759</v>
      </c>
      <c r="AV449" s="127">
        <f>+Q449-'[6]Приложение №1'!$Q474</f>
        <v>0</v>
      </c>
      <c r="AW449" s="88">
        <f t="shared" si="262"/>
        <v>15250257.820993347</v>
      </c>
      <c r="AX449" s="64">
        <v>7236891.7417667126</v>
      </c>
      <c r="AY449" s="64">
        <v>3349337.1770725711</v>
      </c>
      <c r="AZ449" s="64">
        <v>3482256.4633805514</v>
      </c>
      <c r="BA449" s="64"/>
      <c r="BB449" s="64"/>
      <c r="BC449" s="64"/>
      <c r="BD449" s="64">
        <v>268700.9284648766</v>
      </c>
      <c r="BE449" s="64"/>
      <c r="BF449" s="64"/>
      <c r="BG449" s="64"/>
      <c r="BH449" s="64"/>
      <c r="BI449" s="64"/>
      <c r="BJ449" s="64">
        <v>550712.36</v>
      </c>
      <c r="BK449" s="65"/>
      <c r="BL449" s="66">
        <v>362359.15030863637</v>
      </c>
    </row>
    <row r="450" spans="1:64" s="74" customFormat="1" x14ac:dyDescent="0.25">
      <c r="A450" s="141">
        <f t="shared" si="214"/>
        <v>432</v>
      </c>
      <c r="B450" s="142">
        <f t="shared" si="215"/>
        <v>244</v>
      </c>
      <c r="C450" s="62" t="s">
        <v>136</v>
      </c>
      <c r="D450" s="62" t="s">
        <v>880</v>
      </c>
      <c r="E450" s="123" t="s">
        <v>113</v>
      </c>
      <c r="F450" s="123" t="s">
        <v>113</v>
      </c>
      <c r="G450" s="123" t="s">
        <v>43</v>
      </c>
      <c r="H450" s="123" t="s">
        <v>105</v>
      </c>
      <c r="I450" s="123" t="s">
        <v>105</v>
      </c>
      <c r="J450" s="64">
        <v>2879</v>
      </c>
      <c r="K450" s="64">
        <v>2169.3000000000002</v>
      </c>
      <c r="L450" s="64">
        <v>217.3</v>
      </c>
      <c r="M450" s="124">
        <v>116</v>
      </c>
      <c r="N450" s="63">
        <f t="shared" si="271"/>
        <v>25951484.897758067</v>
      </c>
      <c r="O450" s="64">
        <v>0</v>
      </c>
      <c r="P450" s="65">
        <v>3458722.2639504001</v>
      </c>
      <c r="Q450" s="65">
        <v>0</v>
      </c>
      <c r="R450" s="65">
        <f t="shared" si="268"/>
        <v>1102859.33</v>
      </c>
      <c r="S450" s="65">
        <f t="shared" si="276"/>
        <v>9842742</v>
      </c>
      <c r="T450" s="65">
        <f>+'Приложение №2'!E459-'Приложение №1'!P450-'Приложение №1'!R450-'Приложение №1'!S450</f>
        <v>11547161.303807668</v>
      </c>
      <c r="U450" s="65">
        <f t="shared" si="272"/>
        <v>11963.06868471768</v>
      </c>
      <c r="V450" s="65">
        <v>1415.2830200640001</v>
      </c>
      <c r="W450" s="126">
        <v>2023</v>
      </c>
      <c r="X450" s="74">
        <v>487955.39</v>
      </c>
      <c r="Y450" s="74">
        <f t="shared" si="273"/>
        <v>284319.804</v>
      </c>
      <c r="AA450" s="129">
        <f>+N450-'[5]Приложение № 2'!E441</f>
        <v>25951484.897758067</v>
      </c>
      <c r="AD450" s="129">
        <f>+N450-'[5]Приложение № 2'!E441</f>
        <v>25951484.897758067</v>
      </c>
      <c r="AP450" s="128">
        <f>+N450-'Приложение №2'!E459</f>
        <v>0</v>
      </c>
      <c r="AQ450" s="38">
        <v>823981.64</v>
      </c>
      <c r="AR450" s="25">
        <f t="shared" si="274"/>
        <v>278877.69</v>
      </c>
      <c r="AS450" s="25">
        <f t="shared" si="275"/>
        <v>9842742</v>
      </c>
      <c r="AT450" s="127">
        <f t="shared" si="260"/>
        <v>0</v>
      </c>
      <c r="AU450" s="127">
        <f>+P450-'[6]Приложение №1'!$P475</f>
        <v>3458722.2639504001</v>
      </c>
      <c r="AV450" s="127">
        <f>+Q450-'[6]Приложение №1'!$Q475</f>
        <v>0</v>
      </c>
      <c r="AW450" s="88">
        <f t="shared" si="262"/>
        <v>25951484.897758067</v>
      </c>
      <c r="AX450" s="64">
        <v>7588162.5095821442</v>
      </c>
      <c r="AY450" s="64">
        <v>3513749.8885165155</v>
      </c>
      <c r="AZ450" s="64">
        <v>3648800.90724076</v>
      </c>
      <c r="BA450" s="64"/>
      <c r="BB450" s="64"/>
      <c r="BC450" s="64"/>
      <c r="BD450" s="64">
        <v>281551.16212344577</v>
      </c>
      <c r="BE450" s="64"/>
      <c r="BF450" s="64"/>
      <c r="BG450" s="64"/>
      <c r="BH450" s="64"/>
      <c r="BI450" s="64">
        <v>9770786.1871471778</v>
      </c>
      <c r="BJ450" s="64">
        <v>606041.76</v>
      </c>
      <c r="BK450" s="65"/>
      <c r="BL450" s="66">
        <v>542392.48314802255</v>
      </c>
    </row>
    <row r="451" spans="1:64" s="74" customFormat="1" x14ac:dyDescent="0.25">
      <c r="A451" s="141">
        <f t="shared" si="214"/>
        <v>433</v>
      </c>
      <c r="B451" s="142">
        <f t="shared" si="215"/>
        <v>245</v>
      </c>
      <c r="C451" s="62" t="s">
        <v>136</v>
      </c>
      <c r="D451" s="62" t="s">
        <v>881</v>
      </c>
      <c r="E451" s="123" t="s">
        <v>119</v>
      </c>
      <c r="F451" s="123" t="s">
        <v>119</v>
      </c>
      <c r="G451" s="123" t="s">
        <v>43</v>
      </c>
      <c r="H451" s="123" t="s">
        <v>108</v>
      </c>
      <c r="I451" s="123" t="s">
        <v>105</v>
      </c>
      <c r="J451" s="64">
        <v>3412.5</v>
      </c>
      <c r="K451" s="64">
        <v>2249.4</v>
      </c>
      <c r="L451" s="64">
        <v>936.2</v>
      </c>
      <c r="M451" s="124">
        <v>105</v>
      </c>
      <c r="N451" s="63">
        <f t="shared" si="271"/>
        <v>31007203.639035657</v>
      </c>
      <c r="O451" s="64">
        <v>0</v>
      </c>
      <c r="P451" s="65">
        <f>4241300.12456</f>
        <v>4241300.1245600004</v>
      </c>
      <c r="Q451" s="65">
        <v>0</v>
      </c>
      <c r="R451" s="65">
        <f t="shared" si="268"/>
        <v>1347740.74</v>
      </c>
      <c r="S451" s="65">
        <f t="shared" si="276"/>
        <v>15580404.000000002</v>
      </c>
      <c r="T451" s="65">
        <f>+'Приложение №2'!E460-'Приложение №1'!P451-'Приложение №1'!R451-'Приложение №1'!S451</f>
        <v>9837758.7744756583</v>
      </c>
      <c r="U451" s="65">
        <f t="shared" si="272"/>
        <v>13784.655303207814</v>
      </c>
      <c r="V451" s="65">
        <v>1416.2830200640001</v>
      </c>
      <c r="W451" s="126">
        <v>2023</v>
      </c>
      <c r="X451" s="74">
        <v>550816.85</v>
      </c>
      <c r="Y451" s="74">
        <f t="shared" si="273"/>
        <v>449988.21600000001</v>
      </c>
      <c r="AA451" s="129">
        <f>+N451-'[5]Приложение № 2'!E442</f>
        <v>31007203.639035657</v>
      </c>
      <c r="AD451" s="129">
        <f>+N451-'[5]Приложение № 2'!E442</f>
        <v>31007203.639035657</v>
      </c>
      <c r="AP451" s="128">
        <f>+N451-'Приложение №2'!E460</f>
        <v>0</v>
      </c>
      <c r="AQ451" s="38">
        <v>906295.96</v>
      </c>
      <c r="AR451" s="25">
        <f t="shared" si="274"/>
        <v>441444.78</v>
      </c>
      <c r="AS451" s="25">
        <f t="shared" si="275"/>
        <v>15580404.000000002</v>
      </c>
      <c r="AT451" s="127">
        <f t="shared" si="260"/>
        <v>0</v>
      </c>
      <c r="AU451" s="127">
        <f>+P451-'[6]Приложение №1'!$P476</f>
        <v>4241300.1245600004</v>
      </c>
      <c r="AV451" s="127">
        <f>+Q451-'[6]Приложение №1'!$Q476</f>
        <v>0</v>
      </c>
      <c r="AW451" s="88">
        <f t="shared" si="262"/>
        <v>31007203.639035657</v>
      </c>
      <c r="AX451" s="64">
        <v>8973350.9449416008</v>
      </c>
      <c r="AY451" s="64">
        <v>4153394.8612312796</v>
      </c>
      <c r="AZ451" s="64">
        <v>4321667.2967556482</v>
      </c>
      <c r="BA451" s="64"/>
      <c r="BB451" s="64"/>
      <c r="BC451" s="64"/>
      <c r="BD451" s="64">
        <v>333724.67549366411</v>
      </c>
      <c r="BE451" s="64"/>
      <c r="BF451" s="64"/>
      <c r="BG451" s="64"/>
      <c r="BH451" s="64"/>
      <c r="BI451" s="64">
        <v>11566981.319995483</v>
      </c>
      <c r="BJ451" s="64">
        <v>955846.37</v>
      </c>
      <c r="BK451" s="65"/>
      <c r="BL451" s="66">
        <v>702238.17061798053</v>
      </c>
    </row>
    <row r="452" spans="1:64" s="74" customFormat="1" x14ac:dyDescent="0.25">
      <c r="A452" s="141">
        <f t="shared" si="214"/>
        <v>434</v>
      </c>
      <c r="B452" s="142">
        <f t="shared" si="215"/>
        <v>246</v>
      </c>
      <c r="C452" s="62" t="s">
        <v>136</v>
      </c>
      <c r="D452" s="62" t="s">
        <v>882</v>
      </c>
      <c r="E452" s="123" t="s">
        <v>120</v>
      </c>
      <c r="F452" s="123" t="s">
        <v>120</v>
      </c>
      <c r="G452" s="123" t="s">
        <v>43</v>
      </c>
      <c r="H452" s="123" t="s">
        <v>108</v>
      </c>
      <c r="I452" s="123" t="s">
        <v>98</v>
      </c>
      <c r="J452" s="64">
        <v>1792.2</v>
      </c>
      <c r="K452" s="64">
        <v>1275</v>
      </c>
      <c r="L452" s="64">
        <v>170.8</v>
      </c>
      <c r="M452" s="124">
        <v>51</v>
      </c>
      <c r="N452" s="63">
        <f t="shared" si="271"/>
        <v>11745078.045090694</v>
      </c>
      <c r="O452" s="64">
        <v>0</v>
      </c>
      <c r="P452" s="65">
        <v>1006870.2874999999</v>
      </c>
      <c r="Q452" s="65">
        <v>0</v>
      </c>
      <c r="R452" s="65">
        <f t="shared" si="268"/>
        <v>709963.21</v>
      </c>
      <c r="S452" s="65">
        <f t="shared" si="276"/>
        <v>6110747.9999999991</v>
      </c>
      <c r="T452" s="65">
        <f>+'Приложение №2'!E461-'Приложение №1'!P452-'Приложение №1'!R452-'Приложение №1'!S452</f>
        <v>3917496.5475906963</v>
      </c>
      <c r="U452" s="65">
        <f t="shared" si="272"/>
        <v>9211.8259177181917</v>
      </c>
      <c r="V452" s="65">
        <v>1417.2830200640001</v>
      </c>
      <c r="W452" s="126">
        <v>2023</v>
      </c>
      <c r="X452" s="74">
        <v>339010.26</v>
      </c>
      <c r="Y452" s="74">
        <f t="shared" si="273"/>
        <v>176512.22400000002</v>
      </c>
      <c r="AA452" s="129">
        <f>+N452-'[5]Приложение № 2'!E443</f>
        <v>11745078.045090694</v>
      </c>
      <c r="AD452" s="129">
        <f>+N452-'[5]Приложение № 2'!E443</f>
        <v>11745078.045090694</v>
      </c>
      <c r="AP452" s="128">
        <f>+N452-'Приложение №2'!E461</f>
        <v>0</v>
      </c>
      <c r="AQ452" s="38">
        <v>536825.35</v>
      </c>
      <c r="AR452" s="25">
        <f t="shared" si="274"/>
        <v>173137.86</v>
      </c>
      <c r="AS452" s="25">
        <f t="shared" si="275"/>
        <v>6110747.9999999991</v>
      </c>
      <c r="AT452" s="127">
        <f t="shared" si="260"/>
        <v>0</v>
      </c>
      <c r="AU452" s="127">
        <f>+P452-'[6]Приложение №1'!$P477</f>
        <v>1006870.2874999999</v>
      </c>
      <c r="AV452" s="127">
        <f>+Q452-'[6]Приложение №1'!$Q477</f>
        <v>0</v>
      </c>
      <c r="AW452" s="88">
        <f t="shared" si="262"/>
        <v>11745078.045090696</v>
      </c>
      <c r="AX452" s="64"/>
      <c r="AY452" s="64"/>
      <c r="AZ452" s="64"/>
      <c r="BA452" s="64"/>
      <c r="BB452" s="64"/>
      <c r="BC452" s="64"/>
      <c r="BD452" s="64"/>
      <c r="BE452" s="64"/>
      <c r="BF452" s="64">
        <v>11243583.877789754</v>
      </c>
      <c r="BG452" s="64"/>
      <c r="BH452" s="64"/>
      <c r="BI452" s="64"/>
      <c r="BJ452" s="64">
        <v>255619.76</v>
      </c>
      <c r="BK452" s="65"/>
      <c r="BL452" s="66">
        <v>245874.40730094089</v>
      </c>
    </row>
    <row r="453" spans="1:64" s="74" customFormat="1" x14ac:dyDescent="0.25">
      <c r="A453" s="141">
        <f t="shared" si="214"/>
        <v>435</v>
      </c>
      <c r="B453" s="142">
        <f t="shared" si="215"/>
        <v>247</v>
      </c>
      <c r="C453" s="62" t="s">
        <v>136</v>
      </c>
      <c r="D453" s="62" t="s">
        <v>883</v>
      </c>
      <c r="E453" s="123" t="s">
        <v>133</v>
      </c>
      <c r="F453" s="123" t="s">
        <v>133</v>
      </c>
      <c r="G453" s="123" t="s">
        <v>43</v>
      </c>
      <c r="H453" s="123">
        <v>5</v>
      </c>
      <c r="I453" s="123" t="s">
        <v>102</v>
      </c>
      <c r="J453" s="64">
        <v>2036.3</v>
      </c>
      <c r="K453" s="64">
        <v>1337.75</v>
      </c>
      <c r="L453" s="64">
        <v>476.4</v>
      </c>
      <c r="M453" s="124">
        <v>93</v>
      </c>
      <c r="N453" s="63">
        <f t="shared" si="271"/>
        <v>31710390.692750476</v>
      </c>
      <c r="O453" s="64">
        <v>0</v>
      </c>
      <c r="P453" s="65">
        <v>4716196.3342839032</v>
      </c>
      <c r="Q453" s="65">
        <v>0</v>
      </c>
      <c r="R453" s="65">
        <f t="shared" si="268"/>
        <v>767419.94500000007</v>
      </c>
      <c r="S453" s="65">
        <f t="shared" si="276"/>
        <v>8658279.0000000019</v>
      </c>
      <c r="T453" s="65">
        <f>+'Приложение №2'!E462-'Приложение №1'!P453-'Приложение №1'!R453-'Приложение №1'!S453</f>
        <v>17568495.413466573</v>
      </c>
      <c r="U453" s="65">
        <f t="shared" si="272"/>
        <v>23704.272616520633</v>
      </c>
      <c r="V453" s="65">
        <v>1418.2830200640001</v>
      </c>
      <c r="W453" s="126">
        <v>2023</v>
      </c>
      <c r="X453" s="74">
        <v>322443.77</v>
      </c>
      <c r="Y453" s="74">
        <f t="shared" si="273"/>
        <v>250070.89200000002</v>
      </c>
      <c r="AA453" s="129">
        <f>+N453-'[5]Приложение № 2'!E444</f>
        <v>31710390.692750476</v>
      </c>
      <c r="AD453" s="129">
        <f>+N453-'[5]Приложение № 2'!E444</f>
        <v>31710390.692750476</v>
      </c>
      <c r="AP453" s="128">
        <f>+N453-'Приложение №2'!E462</f>
        <v>0</v>
      </c>
      <c r="AQ453" s="38">
        <v>522102.04</v>
      </c>
      <c r="AR453" s="25">
        <f t="shared" si="274"/>
        <v>245317.90500000003</v>
      </c>
      <c r="AS453" s="25">
        <f t="shared" si="275"/>
        <v>8658279.0000000019</v>
      </c>
      <c r="AT453" s="127">
        <f t="shared" si="260"/>
        <v>0</v>
      </c>
      <c r="AU453" s="127">
        <f>+P453-'[6]Приложение №1'!$P478</f>
        <v>4263146.4939071033</v>
      </c>
      <c r="AV453" s="127">
        <f>+Q453-'[6]Приложение №1'!$Q478</f>
        <v>0</v>
      </c>
      <c r="AW453" s="88">
        <f t="shared" si="262"/>
        <v>31710390.69275048</v>
      </c>
      <c r="AX453" s="64">
        <v>5279497.5508409571</v>
      </c>
      <c r="AY453" s="64">
        <v>2417886.2464283649</v>
      </c>
      <c r="AZ453" s="64">
        <v>2564648.5</v>
      </c>
      <c r="BA453" s="64"/>
      <c r="BB453" s="64"/>
      <c r="BC453" s="64"/>
      <c r="BD453" s="64">
        <v>199139.50379714233</v>
      </c>
      <c r="BE453" s="64"/>
      <c r="BF453" s="64">
        <v>12823226.490161531</v>
      </c>
      <c r="BG453" s="64"/>
      <c r="BH453" s="64">
        <v>6542541.5999999996</v>
      </c>
      <c r="BI453" s="64"/>
      <c r="BJ453" s="64">
        <v>1197065.94</v>
      </c>
      <c r="BK453" s="65"/>
      <c r="BL453" s="66">
        <v>686384.86152248038</v>
      </c>
    </row>
    <row r="454" spans="1:64" s="74" customFormat="1" x14ac:dyDescent="0.25">
      <c r="A454" s="141">
        <f t="shared" si="214"/>
        <v>436</v>
      </c>
      <c r="B454" s="142">
        <f t="shared" si="215"/>
        <v>248</v>
      </c>
      <c r="C454" s="62" t="s">
        <v>69</v>
      </c>
      <c r="D454" s="62" t="s">
        <v>876</v>
      </c>
      <c r="E454" s="123" t="s">
        <v>121</v>
      </c>
      <c r="F454" s="123" t="s">
        <v>121</v>
      </c>
      <c r="G454" s="123" t="s">
        <v>43</v>
      </c>
      <c r="H454" s="123" t="s">
        <v>108</v>
      </c>
      <c r="I454" s="123" t="s">
        <v>105</v>
      </c>
      <c r="J454" s="64">
        <v>3929.7</v>
      </c>
      <c r="K454" s="64">
        <v>2523.6</v>
      </c>
      <c r="L454" s="64">
        <v>522.65</v>
      </c>
      <c r="M454" s="124">
        <v>69</v>
      </c>
      <c r="N454" s="63">
        <f t="shared" si="271"/>
        <v>8451712.6778820977</v>
      </c>
      <c r="O454" s="64">
        <v>0</v>
      </c>
      <c r="P454" s="65"/>
      <c r="Q454" s="65">
        <v>0</v>
      </c>
      <c r="R454" s="65">
        <f t="shared" si="268"/>
        <v>1502680.62</v>
      </c>
      <c r="S454" s="65">
        <f>+'Приложение №2'!E463-'Приложение №1'!R454</f>
        <v>6949032.0578820975</v>
      </c>
      <c r="T454" s="65">
        <v>2.3283064365386963E-10</v>
      </c>
      <c r="U454" s="65">
        <f t="shared" si="272"/>
        <v>3349.0698517522974</v>
      </c>
      <c r="V454" s="65">
        <v>1419.2830200640001</v>
      </c>
      <c r="W454" s="126">
        <v>2023</v>
      </c>
      <c r="X454" s="74">
        <v>1250711.5</v>
      </c>
      <c r="Y454" s="74">
        <f t="shared" si="273"/>
        <v>389661.16200000001</v>
      </c>
      <c r="AA454" s="129">
        <f>+N454-'[5]Приложение № 2'!E445</f>
        <v>8451712.6778820977</v>
      </c>
      <c r="AD454" s="129">
        <f>+N454-'[5]Приложение № 2'!E445</f>
        <v>8451712.6778820977</v>
      </c>
      <c r="AP454" s="128">
        <f>+N454-'Приложение №2'!E463</f>
        <v>0</v>
      </c>
      <c r="AQ454" s="74">
        <f>2118935.66-998484.23</f>
        <v>1120451.4300000002</v>
      </c>
      <c r="AR454" s="25">
        <f t="shared" si="274"/>
        <v>382229.18999999994</v>
      </c>
      <c r="AS454" s="25">
        <f>+(K454*10.5+L454*21)*12*30-2437490.96</f>
        <v>11052951.039999999</v>
      </c>
      <c r="AT454" s="127">
        <f t="shared" si="260"/>
        <v>-4103918.9821179016</v>
      </c>
      <c r="AU454" s="127">
        <f>+P454-'[6]Приложение №1'!$P479</f>
        <v>-3571794.2067385912</v>
      </c>
      <c r="AV454" s="127">
        <f>+Q454-'[6]Приложение №1'!$Q479</f>
        <v>0</v>
      </c>
      <c r="AW454" s="88">
        <f t="shared" si="262"/>
        <v>8451712.6778820977</v>
      </c>
      <c r="AX454" s="64"/>
      <c r="AY454" s="64"/>
      <c r="AZ454" s="64"/>
      <c r="BA454" s="64"/>
      <c r="BB454" s="64"/>
      <c r="BC454" s="64"/>
      <c r="BD454" s="64"/>
      <c r="BE454" s="64"/>
      <c r="BF454" s="64"/>
      <c r="BG454" s="64"/>
      <c r="BH454" s="64"/>
      <c r="BI454" s="64">
        <v>7987989.2220094213</v>
      </c>
      <c r="BJ454" s="64">
        <v>289042.31</v>
      </c>
      <c r="BK454" s="65"/>
      <c r="BL454" s="66">
        <v>174681.14587267689</v>
      </c>
    </row>
    <row r="455" spans="1:64" s="74" customFormat="1" x14ac:dyDescent="0.25">
      <c r="A455" s="141">
        <f t="shared" si="214"/>
        <v>437</v>
      </c>
      <c r="B455" s="142">
        <f t="shared" si="215"/>
        <v>249</v>
      </c>
      <c r="C455" s="62" t="s">
        <v>69</v>
      </c>
      <c r="D455" s="62" t="s">
        <v>877</v>
      </c>
      <c r="E455" s="123" t="s">
        <v>119</v>
      </c>
      <c r="F455" s="123" t="s">
        <v>119</v>
      </c>
      <c r="G455" s="123" t="s">
        <v>43</v>
      </c>
      <c r="H455" s="123" t="s">
        <v>108</v>
      </c>
      <c r="I455" s="123" t="s">
        <v>105</v>
      </c>
      <c r="J455" s="64">
        <v>3705.9</v>
      </c>
      <c r="K455" s="64">
        <v>2552.3000000000002</v>
      </c>
      <c r="L455" s="64">
        <v>0</v>
      </c>
      <c r="M455" s="124">
        <v>82</v>
      </c>
      <c r="N455" s="63">
        <f t="shared" si="271"/>
        <v>7524757.6654845187</v>
      </c>
      <c r="O455" s="64">
        <v>0</v>
      </c>
      <c r="P455" s="65"/>
      <c r="Q455" s="65">
        <v>0</v>
      </c>
      <c r="R455" s="65">
        <f t="shared" si="268"/>
        <v>1294934.7</v>
      </c>
      <c r="S455" s="65">
        <f>+'Приложение №2'!E464-'Приложение №1'!R455</f>
        <v>6229822.9654845186</v>
      </c>
      <c r="T455" s="65">
        <v>0</v>
      </c>
      <c r="U455" s="65">
        <f t="shared" si="272"/>
        <v>2948.2261746207414</v>
      </c>
      <c r="V455" s="65">
        <v>1420.2830200640001</v>
      </c>
      <c r="W455" s="126">
        <v>2023</v>
      </c>
      <c r="X455" s="74">
        <v>631825.71</v>
      </c>
      <c r="Y455" s="74">
        <f t="shared" si="273"/>
        <v>278711.16000000003</v>
      </c>
      <c r="AA455" s="129">
        <f>+N455-'[5]Приложение № 2'!E446</f>
        <v>7524757.6654845187</v>
      </c>
      <c r="AD455" s="129">
        <f>+N455-'[5]Приложение № 2'!E446</f>
        <v>7524757.6654845187</v>
      </c>
      <c r="AP455" s="128">
        <f>+N455-'Приложение №2'!E464</f>
        <v>0</v>
      </c>
      <c r="AQ455" s="38">
        <v>1021583.37</v>
      </c>
      <c r="AR455" s="25">
        <f t="shared" si="274"/>
        <v>273351.33</v>
      </c>
      <c r="AS455" s="25">
        <f>+(K455*10.5+L455*21)*12*30</f>
        <v>9647694.0000000019</v>
      </c>
      <c r="AT455" s="127">
        <f t="shared" si="260"/>
        <v>-3417871.0345154833</v>
      </c>
      <c r="AU455" s="127">
        <f>+P455-'[6]Приложение №1'!$P480</f>
        <v>0</v>
      </c>
      <c r="AV455" s="127">
        <f>+Q455-'[6]Приложение №1'!$Q480</f>
        <v>0</v>
      </c>
      <c r="AW455" s="88">
        <f t="shared" si="262"/>
        <v>7524757.6654845187</v>
      </c>
      <c r="AX455" s="64"/>
      <c r="AY455" s="64"/>
      <c r="AZ455" s="64"/>
      <c r="BA455" s="64"/>
      <c r="BB455" s="64"/>
      <c r="BC455" s="64"/>
      <c r="BD455" s="64"/>
      <c r="BE455" s="64"/>
      <c r="BF455" s="64"/>
      <c r="BG455" s="64"/>
      <c r="BH455" s="64"/>
      <c r="BI455" s="64">
        <v>7090316.1613531495</v>
      </c>
      <c r="BJ455" s="64">
        <v>279390.65000000002</v>
      </c>
      <c r="BK455" s="65"/>
      <c r="BL455" s="66">
        <v>155050.85413136869</v>
      </c>
    </row>
    <row r="456" spans="1:64" x14ac:dyDescent="0.25">
      <c r="A456" s="141">
        <f t="shared" si="214"/>
        <v>438</v>
      </c>
      <c r="B456" s="142">
        <f t="shared" si="215"/>
        <v>250</v>
      </c>
      <c r="C456" s="62" t="s">
        <v>69</v>
      </c>
      <c r="D456" s="62" t="s">
        <v>875</v>
      </c>
      <c r="E456" s="123">
        <v>1974</v>
      </c>
      <c r="F456" s="123">
        <v>1980</v>
      </c>
      <c r="G456" s="123" t="s">
        <v>43</v>
      </c>
      <c r="H456" s="123">
        <v>4</v>
      </c>
      <c r="I456" s="123">
        <v>4</v>
      </c>
      <c r="J456" s="64">
        <v>3718.5</v>
      </c>
      <c r="K456" s="64">
        <v>2628.2</v>
      </c>
      <c r="L456" s="64">
        <v>61.4</v>
      </c>
      <c r="M456" s="124">
        <v>99</v>
      </c>
      <c r="N456" s="95">
        <f t="shared" si="256"/>
        <v>19717753.870624889</v>
      </c>
      <c r="O456" s="64"/>
      <c r="P456" s="65">
        <v>6153125.9248689683</v>
      </c>
      <c r="Q456" s="65"/>
      <c r="R456" s="65">
        <f t="shared" si="268"/>
        <v>1380937.2</v>
      </c>
      <c r="S456" s="65">
        <f>+AS456</f>
        <v>9903600</v>
      </c>
      <c r="T456" s="65">
        <f>+'Приложение №2'!E465-'Приложение №1'!P456-'Приложение №1'!R456-'Приложение №1'!S456</f>
        <v>2280090.745755922</v>
      </c>
      <c r="U456" s="64">
        <f t="shared" ref="U456:V475" si="277">$N456/($K456+$L456)</f>
        <v>7331.1101541585695</v>
      </c>
      <c r="V456" s="64">
        <f t="shared" si="277"/>
        <v>7331.1101541585695</v>
      </c>
      <c r="W456" s="126">
        <v>2023</v>
      </c>
      <c r="X456" s="127" t="e">
        <f>+#REF!-'[1]Приложение №1'!$P1269</f>
        <v>#REF!</v>
      </c>
      <c r="Z456" s="63">
        <f t="shared" si="269"/>
        <v>14517653.369999999</v>
      </c>
      <c r="AA456" s="64">
        <v>0</v>
      </c>
      <c r="AB456" s="64">
        <v>0</v>
      </c>
      <c r="AC456" s="64">
        <v>0</v>
      </c>
      <c r="AD456" s="64">
        <v>0</v>
      </c>
      <c r="AE456" s="64">
        <v>0</v>
      </c>
      <c r="AF456" s="64"/>
      <c r="AG456" s="64">
        <v>0</v>
      </c>
      <c r="AH456" s="64">
        <v>0</v>
      </c>
      <c r="AI456" s="64">
        <v>12786278.0290938</v>
      </c>
      <c r="AJ456" s="64">
        <v>0</v>
      </c>
      <c r="AK456" s="64">
        <v>0</v>
      </c>
      <c r="AL456" s="64">
        <v>0</v>
      </c>
      <c r="AM456" s="64">
        <v>1306588.8032999998</v>
      </c>
      <c r="AN456" s="65">
        <v>145176.5337</v>
      </c>
      <c r="AO456" s="66">
        <v>279610.0039062</v>
      </c>
      <c r="AP456" s="128">
        <f>+N456-'Приложение №2'!E465</f>
        <v>0</v>
      </c>
      <c r="AQ456" s="23">
        <v>1100335.2</v>
      </c>
      <c r="AR456" s="25">
        <f t="shared" si="270"/>
        <v>280602</v>
      </c>
      <c r="AS456" s="25">
        <f>+(K456*10+L456*20)*12*30</f>
        <v>9903600</v>
      </c>
      <c r="AT456" s="127">
        <f t="shared" si="260"/>
        <v>0</v>
      </c>
      <c r="AU456" s="127">
        <f>+P456-'[6]Приложение №1'!$P438</f>
        <v>0</v>
      </c>
      <c r="AV456" s="127">
        <f>+Q456-'[6]Приложение №1'!$Q438</f>
        <v>0</v>
      </c>
      <c r="AW456" s="63">
        <f t="shared" si="262"/>
        <v>19717753.870624889</v>
      </c>
      <c r="AX456" s="64">
        <v>5809436.5199999996</v>
      </c>
      <c r="AY456" s="64">
        <v>2662659.4013375328</v>
      </c>
      <c r="AZ456" s="64">
        <v>2785550.9406979568</v>
      </c>
      <c r="BA456" s="64"/>
      <c r="BB456" s="64">
        <v>0</v>
      </c>
      <c r="BC456" s="64"/>
      <c r="BD456" s="64">
        <v>255018.07492258408</v>
      </c>
      <c r="BE456" s="64">
        <v>0</v>
      </c>
      <c r="BF456" s="64">
        <v>6953406.8499999996</v>
      </c>
      <c r="BG456" s="64">
        <v>0</v>
      </c>
      <c r="BH456" s="64">
        <v>0</v>
      </c>
      <c r="BI456" s="64">
        <v>0</v>
      </c>
      <c r="BJ456" s="64">
        <v>588328.4</v>
      </c>
      <c r="BK456" s="65"/>
      <c r="BL456" s="66">
        <v>663353.68366681749</v>
      </c>
    </row>
    <row r="457" spans="1:64" x14ac:dyDescent="0.25">
      <c r="A457" s="141">
        <f t="shared" si="214"/>
        <v>439</v>
      </c>
      <c r="B457" s="142">
        <f t="shared" si="215"/>
        <v>251</v>
      </c>
      <c r="C457" s="62" t="s">
        <v>69</v>
      </c>
      <c r="D457" s="62" t="s">
        <v>873</v>
      </c>
      <c r="E457" s="123">
        <v>1986</v>
      </c>
      <c r="F457" s="123">
        <v>1986</v>
      </c>
      <c r="G457" s="123" t="s">
        <v>43</v>
      </c>
      <c r="H457" s="123">
        <v>4</v>
      </c>
      <c r="I457" s="123">
        <v>4</v>
      </c>
      <c r="J457" s="64">
        <v>3420.4</v>
      </c>
      <c r="K457" s="64">
        <v>2641.9</v>
      </c>
      <c r="L457" s="64">
        <v>0</v>
      </c>
      <c r="M457" s="124">
        <v>102</v>
      </c>
      <c r="N457" s="95">
        <f t="shared" si="256"/>
        <v>7852669.346012</v>
      </c>
      <c r="O457" s="64"/>
      <c r="P457" s="65">
        <f>+'Приложение №2'!E466-'Приложение №1'!R457-'Приложение №1'!S457</f>
        <v>0</v>
      </c>
      <c r="Q457" s="65"/>
      <c r="R457" s="65">
        <f t="shared" si="268"/>
        <v>1454282.82</v>
      </c>
      <c r="S457" s="65">
        <f>+'Приложение №2'!E466-'Приложение №1'!R457</f>
        <v>6398386.5260119997</v>
      </c>
      <c r="T457" s="65">
        <f>+'Приложение №2'!E466-'Приложение №1'!P457-'Приложение №1'!Q457-'Приложение №1'!R457-'Приложение №1'!S457</f>
        <v>0</v>
      </c>
      <c r="U457" s="64">
        <f t="shared" si="277"/>
        <v>2972.3567682395246</v>
      </c>
      <c r="V457" s="64">
        <f t="shared" si="277"/>
        <v>2972.3567682395246</v>
      </c>
      <c r="W457" s="126">
        <v>2023</v>
      </c>
      <c r="X457" s="127" t="e">
        <f>+#REF!-'[1]Приложение №1'!$P1270</f>
        <v>#REF!</v>
      </c>
      <c r="Z457" s="63">
        <f t="shared" si="269"/>
        <v>21968812.859999999</v>
      </c>
      <c r="AA457" s="64">
        <v>0</v>
      </c>
      <c r="AB457" s="64">
        <v>0</v>
      </c>
      <c r="AC457" s="64">
        <v>0</v>
      </c>
      <c r="AD457" s="64">
        <v>0</v>
      </c>
      <c r="AE457" s="64">
        <v>0</v>
      </c>
      <c r="AF457" s="64"/>
      <c r="AG457" s="64">
        <v>0</v>
      </c>
      <c r="AH457" s="64">
        <v>0</v>
      </c>
      <c r="AI457" s="64">
        <v>12571294.6707264</v>
      </c>
      <c r="AJ457" s="64">
        <v>0</v>
      </c>
      <c r="AK457" s="64">
        <v>0</v>
      </c>
      <c r="AL457" s="64">
        <v>6702211.8168390002</v>
      </c>
      <c r="AM457" s="64">
        <v>2054145.6924000001</v>
      </c>
      <c r="AN457" s="65">
        <v>219688.1286</v>
      </c>
      <c r="AO457" s="66">
        <v>421472.55143459997</v>
      </c>
      <c r="AP457" s="128">
        <f>+N457-'Приложение №2'!E466</f>
        <v>0</v>
      </c>
      <c r="AQ457" s="23">
        <v>1184809.02</v>
      </c>
      <c r="AR457" s="25">
        <f t="shared" si="270"/>
        <v>269473.8</v>
      </c>
      <c r="AS457" s="25">
        <f>+(K457*10+L457*20)*12*30</f>
        <v>9510840</v>
      </c>
      <c r="AT457" s="127">
        <f t="shared" si="260"/>
        <v>-3112453.4739880003</v>
      </c>
      <c r="AU457" s="127">
        <f>+P457-'[6]Приложение №1'!$P439</f>
        <v>0</v>
      </c>
      <c r="AV457" s="127">
        <f>+Q457-'[6]Приложение №1'!$Q439</f>
        <v>0</v>
      </c>
      <c r="AW457" s="63">
        <f t="shared" si="262"/>
        <v>7852669.346012</v>
      </c>
      <c r="AX457" s="64">
        <v>0</v>
      </c>
      <c r="AY457" s="64">
        <v>0</v>
      </c>
      <c r="AZ457" s="64">
        <v>0</v>
      </c>
      <c r="BA457" s="64">
        <v>0</v>
      </c>
      <c r="BB457" s="64">
        <v>0</v>
      </c>
      <c r="BC457" s="64"/>
      <c r="BD457" s="64"/>
      <c r="BE457" s="64">
        <v>0</v>
      </c>
      <c r="BF457" s="64"/>
      <c r="BG457" s="64">
        <v>0</v>
      </c>
      <c r="BH457" s="64">
        <v>0</v>
      </c>
      <c r="BI457" s="64">
        <v>7388743.1422140002</v>
      </c>
      <c r="BJ457" s="64"/>
      <c r="BK457" s="65"/>
      <c r="BL457" s="66">
        <v>463926.20379799994</v>
      </c>
    </row>
    <row r="458" spans="1:64" x14ac:dyDescent="0.25">
      <c r="A458" s="141">
        <f t="shared" si="214"/>
        <v>440</v>
      </c>
      <c r="B458" s="142">
        <f t="shared" si="215"/>
        <v>252</v>
      </c>
      <c r="C458" s="62" t="s">
        <v>61</v>
      </c>
      <c r="D458" s="62" t="s">
        <v>884</v>
      </c>
      <c r="E458" s="123">
        <v>1980</v>
      </c>
      <c r="F458" s="123">
        <v>2013</v>
      </c>
      <c r="G458" s="123" t="s">
        <v>48</v>
      </c>
      <c r="H458" s="123">
        <v>1</v>
      </c>
      <c r="I458" s="123">
        <v>2</v>
      </c>
      <c r="J458" s="64">
        <v>418.7</v>
      </c>
      <c r="K458" s="64">
        <v>397.3</v>
      </c>
      <c r="L458" s="64">
        <v>0</v>
      </c>
      <c r="M458" s="124">
        <v>19</v>
      </c>
      <c r="N458" s="95">
        <f t="shared" ref="N458:N475" si="278">+P458+Q458+R458+S458+T458</f>
        <v>2792199.2437518002</v>
      </c>
      <c r="O458" s="64"/>
      <c r="P458" s="65">
        <v>854862.32758393337</v>
      </c>
      <c r="Q458" s="65"/>
      <c r="R458" s="65">
        <f t="shared" si="268"/>
        <v>179774.24599999998</v>
      </c>
      <c r="S458" s="65">
        <f t="shared" ref="S458:S465" si="279">+AS458</f>
        <v>338499.6</v>
      </c>
      <c r="T458" s="65">
        <f>+'Приложение №2'!E467-'Приложение №1'!P458-'Приложение №1'!Q458-'Приложение №1'!R458-'Приложение №1'!S458</f>
        <v>1419063.070167867</v>
      </c>
      <c r="U458" s="64">
        <f t="shared" si="277"/>
        <v>7027.9366819828847</v>
      </c>
      <c r="V458" s="64">
        <f t="shared" si="277"/>
        <v>7027.9366819828847</v>
      </c>
      <c r="W458" s="126">
        <v>2023</v>
      </c>
      <c r="X458" s="127" t="e">
        <f>+#REF!-'[1]Приложение №1'!$P1719</f>
        <v>#REF!</v>
      </c>
      <c r="Z458" s="63">
        <f t="shared" si="269"/>
        <v>6552939.6500000004</v>
      </c>
      <c r="AA458" s="64">
        <v>0</v>
      </c>
      <c r="AB458" s="64">
        <v>0</v>
      </c>
      <c r="AC458" s="64">
        <v>0</v>
      </c>
      <c r="AD458" s="64">
        <v>0</v>
      </c>
      <c r="AE458" s="64">
        <v>0</v>
      </c>
      <c r="AF458" s="64"/>
      <c r="AG458" s="64">
        <v>0</v>
      </c>
      <c r="AH458" s="64">
        <v>0</v>
      </c>
      <c r="AI458" s="64">
        <v>2736680.7350400002</v>
      </c>
      <c r="AJ458" s="64">
        <v>0</v>
      </c>
      <c r="AK458" s="64">
        <v>0</v>
      </c>
      <c r="AL458" s="64">
        <v>3525835.391022</v>
      </c>
      <c r="AM458" s="64">
        <v>108678.99</v>
      </c>
      <c r="AN458" s="65">
        <v>44795.99</v>
      </c>
      <c r="AO458" s="66">
        <v>136948.54393799999</v>
      </c>
      <c r="AP458" s="128">
        <f>+N458-'Приложение №2'!E467</f>
        <v>0</v>
      </c>
      <c r="AQ458" s="23">
        <v>151001.78</v>
      </c>
      <c r="AR458" s="25">
        <f t="shared" ref="AR458:AR463" si="280">+(K458*7.1+L458*19.5)*12*0.85</f>
        <v>28772.465999999997</v>
      </c>
      <c r="AS458" s="25">
        <f t="shared" ref="AS458:AS463" si="281">+(K458*7.1+L458*19.5)*12*10</f>
        <v>338499.6</v>
      </c>
      <c r="AT458" s="127">
        <f t="shared" si="260"/>
        <v>0</v>
      </c>
      <c r="AU458" s="127">
        <f>+P458-'[6]Приложение №1'!$P440</f>
        <v>0</v>
      </c>
      <c r="AV458" s="127">
        <f>+Q458-'[6]Приложение №1'!$Q440</f>
        <v>0</v>
      </c>
      <c r="AW458" s="63">
        <f t="shared" si="262"/>
        <v>2792199.2437518002</v>
      </c>
      <c r="AX458" s="64">
        <v>0</v>
      </c>
      <c r="AY458" s="64">
        <v>0</v>
      </c>
      <c r="AZ458" s="64">
        <v>0</v>
      </c>
      <c r="BA458" s="64">
        <v>0</v>
      </c>
      <c r="BB458" s="64">
        <v>0</v>
      </c>
      <c r="BC458" s="64"/>
      <c r="BD458" s="64"/>
      <c r="BE458" s="64">
        <v>0</v>
      </c>
      <c r="BF458" s="64">
        <v>2736680.7350400002</v>
      </c>
      <c r="BG458" s="64">
        <v>0</v>
      </c>
      <c r="BH458" s="64">
        <v>0</v>
      </c>
      <c r="BI458" s="64"/>
      <c r="BJ458" s="64"/>
      <c r="BK458" s="65"/>
      <c r="BL458" s="66">
        <v>55518.508711800008</v>
      </c>
    </row>
    <row r="459" spans="1:64" x14ac:dyDescent="0.25">
      <c r="A459" s="141">
        <f t="shared" si="214"/>
        <v>441</v>
      </c>
      <c r="B459" s="142">
        <f t="shared" si="215"/>
        <v>253</v>
      </c>
      <c r="C459" s="62" t="s">
        <v>61</v>
      </c>
      <c r="D459" s="62" t="s">
        <v>890</v>
      </c>
      <c r="E459" s="123">
        <v>1975</v>
      </c>
      <c r="F459" s="123">
        <v>2009</v>
      </c>
      <c r="G459" s="123" t="s">
        <v>48</v>
      </c>
      <c r="H459" s="123">
        <v>2</v>
      </c>
      <c r="I459" s="123">
        <v>3</v>
      </c>
      <c r="J459" s="64">
        <v>588.92999999999995</v>
      </c>
      <c r="K459" s="64">
        <v>526.89</v>
      </c>
      <c r="L459" s="64">
        <v>0</v>
      </c>
      <c r="M459" s="124">
        <v>25</v>
      </c>
      <c r="N459" s="95">
        <f t="shared" si="278"/>
        <v>6636678.46</v>
      </c>
      <c r="O459" s="64"/>
      <c r="P459" s="65">
        <v>2042518.3920666666</v>
      </c>
      <c r="Q459" s="65"/>
      <c r="R459" s="65">
        <f t="shared" si="268"/>
        <v>216869.5638</v>
      </c>
      <c r="S459" s="65">
        <f t="shared" si="279"/>
        <v>448910.27999999997</v>
      </c>
      <c r="T459" s="65">
        <f>+'Приложение №2'!E468-'Приложение №1'!P459-'Приложение №1'!Q459-'Приложение №1'!R459-'Приложение №1'!S459</f>
        <v>3928380.2241333337</v>
      </c>
      <c r="U459" s="64">
        <f t="shared" si="277"/>
        <v>12595.946895936533</v>
      </c>
      <c r="V459" s="64">
        <f t="shared" si="277"/>
        <v>12595.946895936533</v>
      </c>
      <c r="W459" s="126">
        <v>2023</v>
      </c>
      <c r="X459" s="127" t="e">
        <f>+#REF!-'[1]Приложение №1'!$P538</f>
        <v>#REF!</v>
      </c>
      <c r="Z459" s="63">
        <f t="shared" si="269"/>
        <v>6793335.0199999996</v>
      </c>
      <c r="AA459" s="64">
        <v>1320658.3173839999</v>
      </c>
      <c r="AB459" s="64">
        <v>0</v>
      </c>
      <c r="AC459" s="64">
        <v>0</v>
      </c>
      <c r="AD459" s="64">
        <v>737257.57992599998</v>
      </c>
      <c r="AE459" s="64">
        <v>0</v>
      </c>
      <c r="AF459" s="64"/>
      <c r="AG459" s="64">
        <v>0</v>
      </c>
      <c r="AH459" s="64">
        <v>0</v>
      </c>
      <c r="AI459" s="64">
        <v>1613252.1332339998</v>
      </c>
      <c r="AJ459" s="64">
        <v>0</v>
      </c>
      <c r="AK459" s="64">
        <v>2823485.5104120001</v>
      </c>
      <c r="AL459" s="64">
        <v>0</v>
      </c>
      <c r="AM459" s="64">
        <v>126656.56</v>
      </c>
      <c r="AN459" s="65">
        <v>30000</v>
      </c>
      <c r="AO459" s="66">
        <v>142024.91904400001</v>
      </c>
      <c r="AP459" s="128">
        <f>+N459-'Приложение №2'!E468</f>
        <v>0</v>
      </c>
      <c r="AQ459" s="23">
        <v>178712.19</v>
      </c>
      <c r="AR459" s="25">
        <f t="shared" si="280"/>
        <v>38157.373800000001</v>
      </c>
      <c r="AS459" s="25">
        <f t="shared" si="281"/>
        <v>448910.27999999997</v>
      </c>
      <c r="AT459" s="127">
        <f t="shared" si="260"/>
        <v>0</v>
      </c>
      <c r="AU459" s="127">
        <f>+P459-'[6]Приложение №1'!$P441</f>
        <v>0</v>
      </c>
      <c r="AV459" s="127">
        <f>+Q459-'[6]Приложение №1'!$Q441</f>
        <v>0</v>
      </c>
      <c r="AW459" s="63">
        <f t="shared" si="262"/>
        <v>6636678.46</v>
      </c>
      <c r="AX459" s="64">
        <v>1320658.3173839999</v>
      </c>
      <c r="AY459" s="64">
        <v>0</v>
      </c>
      <c r="AZ459" s="64">
        <v>0</v>
      </c>
      <c r="BA459" s="64">
        <v>737257.57992599998</v>
      </c>
      <c r="BB459" s="64">
        <v>0</v>
      </c>
      <c r="BC459" s="64"/>
      <c r="BD459" s="64"/>
      <c r="BE459" s="64">
        <v>0</v>
      </c>
      <c r="BF459" s="64">
        <v>1613252.1332339998</v>
      </c>
      <c r="BG459" s="64">
        <v>0</v>
      </c>
      <c r="BH459" s="64">
        <v>2823485.5104120001</v>
      </c>
      <c r="BI459" s="64">
        <v>0</v>
      </c>
      <c r="BJ459" s="64"/>
      <c r="BK459" s="65"/>
      <c r="BL459" s="66">
        <v>142024.91904400001</v>
      </c>
    </row>
    <row r="460" spans="1:64" x14ac:dyDescent="0.25">
      <c r="A460" s="141">
        <f t="shared" si="214"/>
        <v>442</v>
      </c>
      <c r="B460" s="142">
        <f t="shared" si="215"/>
        <v>254</v>
      </c>
      <c r="C460" s="62" t="s">
        <v>61</v>
      </c>
      <c r="D460" s="62" t="s">
        <v>885</v>
      </c>
      <c r="E460" s="123">
        <v>1975</v>
      </c>
      <c r="F460" s="123">
        <v>1975</v>
      </c>
      <c r="G460" s="123" t="s">
        <v>48</v>
      </c>
      <c r="H460" s="123">
        <v>2</v>
      </c>
      <c r="I460" s="123">
        <v>2</v>
      </c>
      <c r="J460" s="64">
        <v>404.7</v>
      </c>
      <c r="K460" s="64">
        <v>359</v>
      </c>
      <c r="L460" s="64">
        <v>0</v>
      </c>
      <c r="M460" s="124">
        <v>19</v>
      </c>
      <c r="N460" s="95">
        <f t="shared" si="278"/>
        <v>1958541.8158535203</v>
      </c>
      <c r="O460" s="64"/>
      <c r="P460" s="65">
        <v>572522.35835117346</v>
      </c>
      <c r="Q460" s="65"/>
      <c r="R460" s="65">
        <f t="shared" si="268"/>
        <v>153563.35</v>
      </c>
      <c r="S460" s="65">
        <f t="shared" si="279"/>
        <v>305868</v>
      </c>
      <c r="T460" s="65">
        <f>+'Приложение №2'!E469-'Приложение №1'!P460-'Приложение №1'!Q460-'Приложение №1'!R460-'Приложение №1'!S460</f>
        <v>926588.10750234686</v>
      </c>
      <c r="U460" s="64">
        <f t="shared" si="277"/>
        <v>5455.5482335752658</v>
      </c>
      <c r="V460" s="64">
        <f t="shared" si="277"/>
        <v>5455.5482335752658</v>
      </c>
      <c r="W460" s="126">
        <v>2023</v>
      </c>
      <c r="X460" s="127" t="e">
        <f>+#REF!-'[1]Приложение №1'!$P1275</f>
        <v>#REF!</v>
      </c>
      <c r="Z460" s="63">
        <f t="shared" si="269"/>
        <v>2159719.7000000002</v>
      </c>
      <c r="AA460" s="64">
        <v>0</v>
      </c>
      <c r="AB460" s="64">
        <v>0</v>
      </c>
      <c r="AC460" s="64">
        <v>105075.60923999998</v>
      </c>
      <c r="AD460" s="64">
        <v>0</v>
      </c>
      <c r="AE460" s="64">
        <v>0</v>
      </c>
      <c r="AF460" s="64"/>
      <c r="AG460" s="64">
        <v>0</v>
      </c>
      <c r="AH460" s="64">
        <v>0</v>
      </c>
      <c r="AI460" s="64">
        <v>0</v>
      </c>
      <c r="AJ460" s="64">
        <v>0</v>
      </c>
      <c r="AK460" s="64">
        <v>1919964.7690860003</v>
      </c>
      <c r="AL460" s="64">
        <v>0</v>
      </c>
      <c r="AM460" s="64">
        <v>60395.79</v>
      </c>
      <c r="AN460" s="65">
        <v>30000</v>
      </c>
      <c r="AO460" s="66">
        <v>44283.531674000005</v>
      </c>
      <c r="AP460" s="128">
        <f>+N460-'Приложение №2'!E469</f>
        <v>0</v>
      </c>
      <c r="AQ460" s="23">
        <v>127564.57</v>
      </c>
      <c r="AR460" s="25">
        <f t="shared" si="280"/>
        <v>25998.780000000002</v>
      </c>
      <c r="AS460" s="25">
        <f t="shared" si="281"/>
        <v>305868</v>
      </c>
      <c r="AT460" s="127">
        <f t="shared" si="260"/>
        <v>0</v>
      </c>
      <c r="AU460" s="127">
        <f>+P460-'[6]Приложение №1'!$P442</f>
        <v>0</v>
      </c>
      <c r="AV460" s="127">
        <f>+Q460-'[6]Приложение №1'!$Q442</f>
        <v>0</v>
      </c>
      <c r="AW460" s="63">
        <f t="shared" si="262"/>
        <v>1958541.8158535203</v>
      </c>
      <c r="AX460" s="64">
        <v>0</v>
      </c>
      <c r="AY460" s="64">
        <v>0</v>
      </c>
      <c r="AZ460" s="64"/>
      <c r="BA460" s="64">
        <v>0</v>
      </c>
      <c r="BB460" s="64">
        <v>0</v>
      </c>
      <c r="BC460" s="64"/>
      <c r="BD460" s="64"/>
      <c r="BE460" s="64">
        <v>0</v>
      </c>
      <c r="BF460" s="64">
        <v>0</v>
      </c>
      <c r="BG460" s="64">
        <v>0</v>
      </c>
      <c r="BH460" s="64">
        <v>1919964.7690860003</v>
      </c>
      <c r="BI460" s="64">
        <v>0</v>
      </c>
      <c r="BJ460" s="64"/>
      <c r="BK460" s="65"/>
      <c r="BL460" s="66">
        <v>38577.046767520005</v>
      </c>
    </row>
    <row r="461" spans="1:64" x14ac:dyDescent="0.25">
      <c r="A461" s="141">
        <f t="shared" si="214"/>
        <v>443</v>
      </c>
      <c r="B461" s="142">
        <f t="shared" si="215"/>
        <v>255</v>
      </c>
      <c r="C461" s="62" t="s">
        <v>61</v>
      </c>
      <c r="D461" s="62" t="s">
        <v>886</v>
      </c>
      <c r="E461" s="123">
        <v>1982</v>
      </c>
      <c r="F461" s="123">
        <v>1982</v>
      </c>
      <c r="G461" s="123" t="s">
        <v>48</v>
      </c>
      <c r="H461" s="123">
        <v>2</v>
      </c>
      <c r="I461" s="123">
        <v>3</v>
      </c>
      <c r="J461" s="64">
        <v>1277.5</v>
      </c>
      <c r="K461" s="64">
        <v>1102.3</v>
      </c>
      <c r="L461" s="64">
        <v>0</v>
      </c>
      <c r="M461" s="124">
        <v>34</v>
      </c>
      <c r="N461" s="95">
        <f t="shared" si="278"/>
        <v>14630973.174031259</v>
      </c>
      <c r="O461" s="64"/>
      <c r="P461" s="65">
        <v>4932346.6957104206</v>
      </c>
      <c r="Q461" s="65"/>
      <c r="R461" s="65">
        <f t="shared" si="268"/>
        <v>426341.73599999998</v>
      </c>
      <c r="S461" s="65">
        <f t="shared" si="279"/>
        <v>939159.59999999986</v>
      </c>
      <c r="T461" s="65">
        <f>+'Приложение №2'!E470-'Приложение №1'!P461-'Приложение №1'!Q461-'Приложение №1'!R461-'Приложение №1'!S461</f>
        <v>8333125.1423208397</v>
      </c>
      <c r="U461" s="64">
        <f t="shared" si="277"/>
        <v>13273.131791736605</v>
      </c>
      <c r="V461" s="64">
        <f t="shared" si="277"/>
        <v>13273.131791736605</v>
      </c>
      <c r="W461" s="126">
        <v>2023</v>
      </c>
      <c r="X461" s="127" t="e">
        <f>+#REF!-'[1]Приложение №1'!$P1720</f>
        <v>#REF!</v>
      </c>
      <c r="Z461" s="63">
        <f t="shared" si="269"/>
        <v>20938342.830000006</v>
      </c>
      <c r="AA461" s="64">
        <v>2788532.6780639999</v>
      </c>
      <c r="AB461" s="64">
        <v>0</v>
      </c>
      <c r="AC461" s="64">
        <v>377369.21947199997</v>
      </c>
      <c r="AD461" s="64">
        <v>1566144.8148779999</v>
      </c>
      <c r="AE461" s="64">
        <v>0</v>
      </c>
      <c r="AF461" s="64"/>
      <c r="AG461" s="64">
        <v>616763.67752999999</v>
      </c>
      <c r="AH461" s="64">
        <v>0</v>
      </c>
      <c r="AI461" s="64">
        <v>3422622.3707340001</v>
      </c>
      <c r="AJ461" s="64">
        <v>0</v>
      </c>
      <c r="AK461" s="64">
        <v>5952055.6381440004</v>
      </c>
      <c r="AL461" s="64">
        <v>5507536.2469260003</v>
      </c>
      <c r="AM461" s="64">
        <v>219906.35</v>
      </c>
      <c r="AN461" s="65">
        <v>45000.3</v>
      </c>
      <c r="AO461" s="66">
        <v>442411.53425199992</v>
      </c>
      <c r="AP461" s="128">
        <f>+N461-'Приложение №2'!E470</f>
        <v>0</v>
      </c>
      <c r="AQ461" s="23">
        <v>346513.17</v>
      </c>
      <c r="AR461" s="25">
        <f t="shared" si="280"/>
        <v>79828.565999999992</v>
      </c>
      <c r="AS461" s="25">
        <f t="shared" si="281"/>
        <v>939159.59999999986</v>
      </c>
      <c r="AT461" s="127">
        <f t="shared" si="260"/>
        <v>0</v>
      </c>
      <c r="AU461" s="127">
        <f>+P461-'[6]Приложение №1'!$P443</f>
        <v>0</v>
      </c>
      <c r="AV461" s="127">
        <f>+Q461-'[6]Приложение №1'!$Q443</f>
        <v>0</v>
      </c>
      <c r="AW461" s="63">
        <f t="shared" si="262"/>
        <v>14630973.174031259</v>
      </c>
      <c r="AX461" s="64">
        <v>2788532.6780639999</v>
      </c>
      <c r="AY461" s="64">
        <v>0</v>
      </c>
      <c r="AZ461" s="64"/>
      <c r="BA461" s="64">
        <v>1566144.8148779999</v>
      </c>
      <c r="BB461" s="64">
        <v>0</v>
      </c>
      <c r="BC461" s="64"/>
      <c r="BD461" s="64">
        <v>616763.67752999999</v>
      </c>
      <c r="BE461" s="64">
        <v>0</v>
      </c>
      <c r="BF461" s="64">
        <v>3422622.3707340001</v>
      </c>
      <c r="BG461" s="64">
        <v>0</v>
      </c>
      <c r="BH461" s="64">
        <v>5952055.6381440004</v>
      </c>
      <c r="BI461" s="64"/>
      <c r="BJ461" s="64"/>
      <c r="BK461" s="65"/>
      <c r="BL461" s="66">
        <v>284853.99468125997</v>
      </c>
    </row>
    <row r="462" spans="1:64" x14ac:dyDescent="0.25">
      <c r="A462" s="141">
        <f t="shared" si="214"/>
        <v>444</v>
      </c>
      <c r="B462" s="142">
        <f t="shared" si="215"/>
        <v>256</v>
      </c>
      <c r="C462" s="62" t="s">
        <v>61</v>
      </c>
      <c r="D462" s="62" t="s">
        <v>888</v>
      </c>
      <c r="E462" s="123">
        <v>1977</v>
      </c>
      <c r="F462" s="123">
        <v>2009</v>
      </c>
      <c r="G462" s="123" t="s">
        <v>48</v>
      </c>
      <c r="H462" s="123">
        <v>2</v>
      </c>
      <c r="I462" s="123">
        <v>2</v>
      </c>
      <c r="J462" s="64">
        <v>513.5</v>
      </c>
      <c r="K462" s="64">
        <v>482.7</v>
      </c>
      <c r="L462" s="64">
        <v>0</v>
      </c>
      <c r="M462" s="124">
        <v>23</v>
      </c>
      <c r="N462" s="95">
        <f t="shared" si="278"/>
        <v>6038708.3828797396</v>
      </c>
      <c r="O462" s="64"/>
      <c r="P462" s="65">
        <v>2036554.7715932464</v>
      </c>
      <c r="Q462" s="65"/>
      <c r="R462" s="65">
        <f t="shared" si="268"/>
        <v>182941.56399999998</v>
      </c>
      <c r="S462" s="65">
        <f t="shared" si="279"/>
        <v>411260.39999999991</v>
      </c>
      <c r="T462" s="65">
        <f>+'Приложение №2'!E471-'Приложение №1'!P462-'Приложение №1'!Q462-'Приложение №1'!R462-'Приложение №1'!S462</f>
        <v>3407951.6472864933</v>
      </c>
      <c r="U462" s="64">
        <f t="shared" si="277"/>
        <v>12510.272183301719</v>
      </c>
      <c r="V462" s="64">
        <f t="shared" si="277"/>
        <v>12510.272183301719</v>
      </c>
      <c r="W462" s="126">
        <v>2023</v>
      </c>
      <c r="X462" s="127" t="e">
        <f>+#REF!-'[1]Приложение №1'!$P539</f>
        <v>#REF!</v>
      </c>
      <c r="Z462" s="63">
        <f t="shared" si="269"/>
        <v>8714786.4700000007</v>
      </c>
      <c r="AA462" s="64">
        <v>1207621.7677859999</v>
      </c>
      <c r="AB462" s="64">
        <v>0</v>
      </c>
      <c r="AC462" s="64">
        <v>0</v>
      </c>
      <c r="AD462" s="64">
        <v>674481.81868200004</v>
      </c>
      <c r="AE462" s="64">
        <v>0</v>
      </c>
      <c r="AF462" s="64"/>
      <c r="AG462" s="64">
        <v>0</v>
      </c>
      <c r="AH462" s="64">
        <v>0</v>
      </c>
      <c r="AI462" s="64">
        <v>1465015.4884260001</v>
      </c>
      <c r="AJ462" s="64">
        <v>0</v>
      </c>
      <c r="AK462" s="64">
        <v>2572639.0445699999</v>
      </c>
      <c r="AL462" s="64">
        <v>2380773.3781019999</v>
      </c>
      <c r="AM462" s="64">
        <v>188635.93</v>
      </c>
      <c r="AN462" s="65">
        <v>44103.229999999996</v>
      </c>
      <c r="AO462" s="66">
        <v>181515.81243399999</v>
      </c>
      <c r="AP462" s="128">
        <f>+N462-'Приложение №2'!E471</f>
        <v>0</v>
      </c>
      <c r="AQ462" s="23">
        <v>147984.43</v>
      </c>
      <c r="AR462" s="25">
        <f t="shared" si="280"/>
        <v>34957.133999999991</v>
      </c>
      <c r="AS462" s="25">
        <f t="shared" si="281"/>
        <v>411260.39999999991</v>
      </c>
      <c r="AT462" s="127">
        <f t="shared" si="260"/>
        <v>0</v>
      </c>
      <c r="AU462" s="127">
        <f>+P462-'[6]Приложение №1'!$P444</f>
        <v>0</v>
      </c>
      <c r="AV462" s="127">
        <f>+Q462-'[6]Приложение №1'!$Q444</f>
        <v>0</v>
      </c>
      <c r="AW462" s="63">
        <f t="shared" si="262"/>
        <v>6038708.3828797396</v>
      </c>
      <c r="AX462" s="64">
        <v>1207621.7677859999</v>
      </c>
      <c r="AY462" s="64">
        <v>0</v>
      </c>
      <c r="AZ462" s="64">
        <v>0</v>
      </c>
      <c r="BA462" s="64">
        <v>674481.81868200004</v>
      </c>
      <c r="BB462" s="64">
        <v>0</v>
      </c>
      <c r="BC462" s="64"/>
      <c r="BD462" s="64"/>
      <c r="BE462" s="64">
        <v>0</v>
      </c>
      <c r="BF462" s="64">
        <v>1465015.4884260001</v>
      </c>
      <c r="BG462" s="64">
        <v>0</v>
      </c>
      <c r="BH462" s="64">
        <v>2572639.0445699999</v>
      </c>
      <c r="BI462" s="64"/>
      <c r="BJ462" s="64"/>
      <c r="BK462" s="65"/>
      <c r="BL462" s="66">
        <v>118950.26341574</v>
      </c>
    </row>
    <row r="463" spans="1:64" x14ac:dyDescent="0.25">
      <c r="A463" s="141">
        <f t="shared" si="214"/>
        <v>445</v>
      </c>
      <c r="B463" s="142">
        <f t="shared" si="215"/>
        <v>257</v>
      </c>
      <c r="C463" s="62" t="s">
        <v>61</v>
      </c>
      <c r="D463" s="62" t="s">
        <v>887</v>
      </c>
      <c r="E463" s="123">
        <v>1980</v>
      </c>
      <c r="F463" s="123">
        <v>2009</v>
      </c>
      <c r="G463" s="123" t="s">
        <v>48</v>
      </c>
      <c r="H463" s="123">
        <v>2</v>
      </c>
      <c r="I463" s="123">
        <v>2</v>
      </c>
      <c r="J463" s="64">
        <v>672.9</v>
      </c>
      <c r="K463" s="64">
        <v>611.1</v>
      </c>
      <c r="L463" s="64">
        <v>0</v>
      </c>
      <c r="M463" s="124">
        <v>29</v>
      </c>
      <c r="N463" s="95">
        <f t="shared" si="278"/>
        <v>7180288.0364000006</v>
      </c>
      <c r="O463" s="64"/>
      <c r="P463" s="65">
        <v>2190719.200666667</v>
      </c>
      <c r="Q463" s="65"/>
      <c r="R463" s="65">
        <f t="shared" si="268"/>
        <v>229660.23199999999</v>
      </c>
      <c r="S463" s="65">
        <f t="shared" si="279"/>
        <v>520657.19999999995</v>
      </c>
      <c r="T463" s="65">
        <f>+'Приложение №2'!E472-'Приложение №1'!P463-'Приложение №1'!Q463-'Приложение №1'!R463-'Приложение №1'!S463</f>
        <v>4239251.4037333336</v>
      </c>
      <c r="U463" s="64">
        <f t="shared" si="277"/>
        <v>11749.775873670431</v>
      </c>
      <c r="V463" s="64">
        <f t="shared" si="277"/>
        <v>11749.775873670431</v>
      </c>
      <c r="W463" s="126">
        <v>2023</v>
      </c>
      <c r="X463" s="127" t="e">
        <f>+#REF!-'[1]Приложение №1'!$P1721</f>
        <v>#REF!</v>
      </c>
      <c r="Z463" s="63">
        <f t="shared" si="269"/>
        <v>11378629.49</v>
      </c>
      <c r="AA463" s="64">
        <v>1424337.5088524399</v>
      </c>
      <c r="AB463" s="64">
        <v>0</v>
      </c>
      <c r="AC463" s="64">
        <v>0</v>
      </c>
      <c r="AD463" s="64">
        <v>760379.17506936006</v>
      </c>
      <c r="AE463" s="64">
        <v>0</v>
      </c>
      <c r="AF463" s="64"/>
      <c r="AG463" s="64">
        <v>334977.14468904003</v>
      </c>
      <c r="AH463" s="64">
        <v>0</v>
      </c>
      <c r="AI463" s="64">
        <v>1736316.6240672001</v>
      </c>
      <c r="AJ463" s="64">
        <v>0</v>
      </c>
      <c r="AK463" s="64">
        <v>2963106.3528674999</v>
      </c>
      <c r="AL463" s="64">
        <v>2745980.9435167201</v>
      </c>
      <c r="AM463" s="64">
        <v>1081828.9410000001</v>
      </c>
      <c r="AN463" s="65">
        <v>113786.29490000001</v>
      </c>
      <c r="AO463" s="66">
        <v>217916.50503774002</v>
      </c>
      <c r="AP463" s="128">
        <f>+N463-'Приложение №2'!E472</f>
        <v>0</v>
      </c>
      <c r="AQ463" s="23">
        <v>185404.37</v>
      </c>
      <c r="AR463" s="25">
        <f t="shared" si="280"/>
        <v>44255.861999999994</v>
      </c>
      <c r="AS463" s="25">
        <f t="shared" si="281"/>
        <v>520657.19999999995</v>
      </c>
      <c r="AT463" s="127">
        <f t="shared" si="260"/>
        <v>0</v>
      </c>
      <c r="AU463" s="127">
        <f>+P463-'[6]Приложение №1'!$P445</f>
        <v>0</v>
      </c>
      <c r="AV463" s="127">
        <f>+Q463-'[6]Приложение №1'!$Q445</f>
        <v>0</v>
      </c>
      <c r="AW463" s="63">
        <f t="shared" si="262"/>
        <v>7180288.0364000006</v>
      </c>
      <c r="AX463" s="64">
        <v>1536923.9460959998</v>
      </c>
      <c r="AY463" s="64">
        <v>0</v>
      </c>
      <c r="AZ463" s="64">
        <v>0</v>
      </c>
      <c r="BA463" s="64"/>
      <c r="BB463" s="64">
        <v>0</v>
      </c>
      <c r="BC463" s="64"/>
      <c r="BD463" s="64">
        <v>334977.14468904003</v>
      </c>
      <c r="BE463" s="64">
        <v>0</v>
      </c>
      <c r="BF463" s="64">
        <v>1876117.9502100002</v>
      </c>
      <c r="BG463" s="64">
        <v>0</v>
      </c>
      <c r="BH463" s="64">
        <v>3278610.8314260002</v>
      </c>
      <c r="BI463" s="64"/>
      <c r="BJ463" s="64"/>
      <c r="BK463" s="65"/>
      <c r="BL463" s="66">
        <v>153658.16397896002</v>
      </c>
    </row>
    <row r="464" spans="1:64" x14ac:dyDescent="0.25">
      <c r="A464" s="141">
        <f t="shared" si="214"/>
        <v>446</v>
      </c>
      <c r="B464" s="142">
        <f t="shared" si="215"/>
        <v>258</v>
      </c>
      <c r="C464" s="62" t="s">
        <v>72</v>
      </c>
      <c r="D464" s="62" t="s">
        <v>891</v>
      </c>
      <c r="E464" s="123">
        <v>1978</v>
      </c>
      <c r="F464" s="123">
        <v>2012</v>
      </c>
      <c r="G464" s="123" t="s">
        <v>43</v>
      </c>
      <c r="H464" s="123">
        <v>2</v>
      </c>
      <c r="I464" s="123">
        <v>2</v>
      </c>
      <c r="J464" s="64">
        <v>490.77</v>
      </c>
      <c r="K464" s="64">
        <v>162.07</v>
      </c>
      <c r="L464" s="64">
        <v>0</v>
      </c>
      <c r="M464" s="124">
        <v>12</v>
      </c>
      <c r="N464" s="95">
        <f t="shared" si="278"/>
        <v>16911087.399999999</v>
      </c>
      <c r="O464" s="64"/>
      <c r="P464" s="65">
        <v>4726214.1316666668</v>
      </c>
      <c r="Q464" s="65"/>
      <c r="R464" s="65">
        <f t="shared" si="268"/>
        <v>199998.12</v>
      </c>
      <c r="S464" s="65">
        <f t="shared" si="279"/>
        <v>583451.99999999988</v>
      </c>
      <c r="T464" s="65">
        <f>+'Приложение №2'!E473-'Приложение №1'!P464-'Приложение №1'!Q464-'Приложение №1'!R464-'Приложение №1'!S464</f>
        <v>11401423.148333332</v>
      </c>
      <c r="U464" s="64">
        <f t="shared" si="277"/>
        <v>104344.34133399148</v>
      </c>
      <c r="V464" s="64">
        <f t="shared" si="277"/>
        <v>104344.34133399148</v>
      </c>
      <c r="W464" s="126">
        <v>2023</v>
      </c>
      <c r="X464" s="127" t="e">
        <f>+#REF!-'[1]Приложение №1'!$P1273</f>
        <v>#REF!</v>
      </c>
      <c r="Z464" s="63">
        <f t="shared" si="269"/>
        <v>16858412.73</v>
      </c>
      <c r="AA464" s="64">
        <v>1683565.8969639998</v>
      </c>
      <c r="AB464" s="64">
        <v>1040219.4703179998</v>
      </c>
      <c r="AC464" s="64">
        <v>488517.72999399999</v>
      </c>
      <c r="AD464" s="64">
        <v>423331.30508199998</v>
      </c>
      <c r="AE464" s="64">
        <v>0</v>
      </c>
      <c r="AF464" s="64"/>
      <c r="AG464" s="64">
        <v>147640.393614</v>
      </c>
      <c r="AH464" s="64">
        <v>0</v>
      </c>
      <c r="AI464" s="64">
        <v>4805741.3532099994</v>
      </c>
      <c r="AJ464" s="64">
        <v>0</v>
      </c>
      <c r="AK464" s="64">
        <v>4013795.9746779995</v>
      </c>
      <c r="AL464" s="64">
        <v>3549227.0136119998</v>
      </c>
      <c r="AM464" s="64">
        <v>314486.54000000004</v>
      </c>
      <c r="AN464" s="64">
        <v>38674.67</v>
      </c>
      <c r="AO464" s="66">
        <v>353212.38252800005</v>
      </c>
      <c r="AP464" s="128">
        <f>+N464-'Приложение №2'!E473</f>
        <v>0</v>
      </c>
      <c r="AQ464" s="23">
        <v>183466.98</v>
      </c>
      <c r="AR464" s="25">
        <f>+(K464*10+L464*20)*12*0.85</f>
        <v>16531.14</v>
      </c>
      <c r="AS464" s="25">
        <f>+(K464*10+L464*20)*12*30</f>
        <v>583451.99999999988</v>
      </c>
      <c r="AT464" s="127">
        <f t="shared" si="260"/>
        <v>0</v>
      </c>
      <c r="AU464" s="127">
        <f>+P464-'[6]Приложение №1'!$P446</f>
        <v>0</v>
      </c>
      <c r="AV464" s="127">
        <f>+Q464-'[6]Приложение №1'!$Q446</f>
        <v>-809042.81499999994</v>
      </c>
      <c r="AW464" s="63">
        <f t="shared" si="262"/>
        <v>16911087.399999999</v>
      </c>
      <c r="AX464" s="64">
        <v>1683565.8969639998</v>
      </c>
      <c r="AY464" s="64">
        <v>1040219.4703179998</v>
      </c>
      <c r="AZ464" s="64">
        <v>488517.72999399999</v>
      </c>
      <c r="BA464" s="64">
        <v>423331.30508199998</v>
      </c>
      <c r="BB464" s="64">
        <v>0</v>
      </c>
      <c r="BC464" s="64"/>
      <c r="BD464" s="64">
        <v>147640.393614</v>
      </c>
      <c r="BE464" s="64">
        <v>0</v>
      </c>
      <c r="BF464" s="64">
        <v>4805741.3532099994</v>
      </c>
      <c r="BG464" s="64">
        <v>0</v>
      </c>
      <c r="BH464" s="64">
        <v>4013795.9746779995</v>
      </c>
      <c r="BI464" s="64">
        <v>3549227.0136119998</v>
      </c>
      <c r="BJ464" s="64">
        <v>367161.21</v>
      </c>
      <c r="BK464" s="64">
        <f>38674.67</f>
        <v>38674.67</v>
      </c>
      <c r="BL464" s="66">
        <v>353212.38252800005</v>
      </c>
    </row>
    <row r="465" spans="1:64" x14ac:dyDescent="0.25">
      <c r="A465" s="141">
        <f t="shared" ref="A465:A476" si="282">+A464+1</f>
        <v>447</v>
      </c>
      <c r="B465" s="142">
        <f t="shared" ref="B465:B476" si="283">+B464+1</f>
        <v>259</v>
      </c>
      <c r="C465" s="62" t="s">
        <v>70</v>
      </c>
      <c r="D465" s="62" t="s">
        <v>889</v>
      </c>
      <c r="E465" s="123">
        <v>1981</v>
      </c>
      <c r="F465" s="123">
        <v>2012</v>
      </c>
      <c r="G465" s="123" t="s">
        <v>48</v>
      </c>
      <c r="H465" s="123">
        <v>2</v>
      </c>
      <c r="I465" s="123">
        <v>2</v>
      </c>
      <c r="J465" s="64">
        <v>1102.5</v>
      </c>
      <c r="K465" s="64">
        <v>944.54</v>
      </c>
      <c r="L465" s="64">
        <v>0</v>
      </c>
      <c r="M465" s="124">
        <v>51</v>
      </c>
      <c r="N465" s="95">
        <f t="shared" si="278"/>
        <v>5471090.385000119</v>
      </c>
      <c r="O465" s="64"/>
      <c r="P465" s="65">
        <v>1550168.3224000398</v>
      </c>
      <c r="Q465" s="65"/>
      <c r="R465" s="65">
        <f t="shared" si="268"/>
        <v>340980.2868</v>
      </c>
      <c r="S465" s="65">
        <f t="shared" si="279"/>
        <v>804748.07999999984</v>
      </c>
      <c r="T465" s="65">
        <f>+'Приложение №2'!E474-'Приложение №1'!P465-'Приложение №1'!Q465-'Приложение №1'!R465-'Приложение №1'!S465</f>
        <v>2775193.695800079</v>
      </c>
      <c r="U465" s="64">
        <f t="shared" si="277"/>
        <v>5792.3331833486345</v>
      </c>
      <c r="V465" s="64">
        <f t="shared" si="277"/>
        <v>5792.3331833486345</v>
      </c>
      <c r="W465" s="126">
        <v>2023</v>
      </c>
      <c r="X465" s="127" t="e">
        <f>+#REF!-'[1]Приложение №1'!$P1276</f>
        <v>#REF!</v>
      </c>
      <c r="Z465" s="63">
        <f t="shared" si="269"/>
        <v>7994669.5200000005</v>
      </c>
      <c r="AA465" s="64">
        <v>0</v>
      </c>
      <c r="AB465" s="64">
        <v>0</v>
      </c>
      <c r="AC465" s="64">
        <v>0</v>
      </c>
      <c r="AD465" s="64">
        <v>0</v>
      </c>
      <c r="AE465" s="64">
        <v>0</v>
      </c>
      <c r="AF465" s="64"/>
      <c r="AG465" s="64">
        <v>0</v>
      </c>
      <c r="AH465" s="64">
        <v>0</v>
      </c>
      <c r="AI465" s="64">
        <v>2946332.8479479998</v>
      </c>
      <c r="AJ465" s="64">
        <v>0</v>
      </c>
      <c r="AK465" s="64">
        <v>0</v>
      </c>
      <c r="AL465" s="64">
        <v>4750816.3680600002</v>
      </c>
      <c r="AM465" s="64">
        <v>105837.82</v>
      </c>
      <c r="AN465" s="65">
        <v>23361.42</v>
      </c>
      <c r="AO465" s="66">
        <v>168321.06399200001</v>
      </c>
      <c r="AP465" s="128" t="s">
        <v>606</v>
      </c>
      <c r="AQ465" s="38">
        <v>272576.7</v>
      </c>
      <c r="AR465" s="25">
        <f>+(K465*7.1+L465*19.5)*12*0.85</f>
        <v>68403.58679999999</v>
      </c>
      <c r="AS465" s="25">
        <f>+(K465*7.1+L465*19.5)*12*10</f>
        <v>804748.07999999984</v>
      </c>
      <c r="AT465" s="127">
        <f t="shared" si="260"/>
        <v>0</v>
      </c>
      <c r="AU465" s="127">
        <f>+P465-'[6]Приложение №1'!$P447</f>
        <v>0</v>
      </c>
      <c r="AV465" s="127">
        <f>+Q465-'[6]Приложение №1'!$Q447</f>
        <v>-210000</v>
      </c>
      <c r="AW465" s="63">
        <f t="shared" si="262"/>
        <v>5471090.385000119</v>
      </c>
      <c r="AX465" s="64">
        <v>2405495.4171779994</v>
      </c>
      <c r="AY465" s="64">
        <v>0</v>
      </c>
      <c r="AZ465" s="64">
        <v>0</v>
      </c>
      <c r="BA465" s="64">
        <v>0</v>
      </c>
      <c r="BB465" s="64">
        <v>0</v>
      </c>
      <c r="BC465" s="64"/>
      <c r="BD465" s="64"/>
      <c r="BE465" s="64">
        <v>0</v>
      </c>
      <c r="BF465" s="64">
        <v>2946332.8479479998</v>
      </c>
      <c r="BG465" s="64">
        <v>0</v>
      </c>
      <c r="BH465" s="64">
        <v>0</v>
      </c>
      <c r="BI465" s="64"/>
      <c r="BJ465" s="64"/>
      <c r="BK465" s="65"/>
      <c r="BL465" s="66">
        <v>119262.11987412002</v>
      </c>
    </row>
    <row r="466" spans="1:64" x14ac:dyDescent="0.25">
      <c r="A466" s="141">
        <f t="shared" si="282"/>
        <v>448</v>
      </c>
      <c r="B466" s="142">
        <f t="shared" si="283"/>
        <v>260</v>
      </c>
      <c r="C466" s="62" t="s">
        <v>62</v>
      </c>
      <c r="D466" s="62" t="s">
        <v>905</v>
      </c>
      <c r="E466" s="123">
        <v>1981</v>
      </c>
      <c r="F466" s="123"/>
      <c r="G466" s="123" t="s">
        <v>43</v>
      </c>
      <c r="H466" s="123">
        <v>2</v>
      </c>
      <c r="I466" s="123">
        <v>1</v>
      </c>
      <c r="J466" s="64">
        <v>660</v>
      </c>
      <c r="K466" s="64">
        <v>592.70000000000005</v>
      </c>
      <c r="L466" s="64">
        <v>0</v>
      </c>
      <c r="M466" s="124">
        <v>13</v>
      </c>
      <c r="N466" s="63">
        <f>SUM(O466:T466)</f>
        <v>4258070.3745964803</v>
      </c>
      <c r="O466" s="64"/>
      <c r="P466" s="65">
        <v>1751097.6945964801</v>
      </c>
      <c r="Q466" s="65"/>
      <c r="R466" s="65">
        <f>+AQ466+AR466</f>
        <v>428647.16</v>
      </c>
      <c r="S466" s="65">
        <f>+'Приложение №2'!E475-'Приложение №1'!P466-'Приложение №1'!R466</f>
        <v>2078325.5200000003</v>
      </c>
      <c r="T466" s="65">
        <v>0</v>
      </c>
      <c r="U466" s="65">
        <f>N466/K466</f>
        <v>7184.1916223999997</v>
      </c>
      <c r="V466" s="65">
        <v>1434.2830200640001</v>
      </c>
      <c r="W466" s="126">
        <v>2023</v>
      </c>
      <c r="X466" s="127" t="e">
        <f>+#REF!-'[1]Приложение №1'!$P1732</f>
        <v>#REF!</v>
      </c>
      <c r="Z466" s="63">
        <f>SUM(AA466:AO466)</f>
        <v>19893961.780000001</v>
      </c>
      <c r="AA466" s="64">
        <v>0</v>
      </c>
      <c r="AB466" s="64">
        <v>0</v>
      </c>
      <c r="AC466" s="64">
        <v>3565270.41384234</v>
      </c>
      <c r="AD466" s="64">
        <v>2303095.9599144002</v>
      </c>
      <c r="AE466" s="64">
        <v>1422513.1652520599</v>
      </c>
      <c r="AF466" s="64"/>
      <c r="AG466" s="64">
        <v>0</v>
      </c>
      <c r="AH466" s="64">
        <v>0</v>
      </c>
      <c r="AI466" s="64">
        <v>0</v>
      </c>
      <c r="AJ466" s="64">
        <v>0</v>
      </c>
      <c r="AK466" s="64">
        <v>0</v>
      </c>
      <c r="AL466" s="64">
        <v>9543182.8357933201</v>
      </c>
      <c r="AM466" s="64">
        <v>2492832.9380000001</v>
      </c>
      <c r="AN466" s="65">
        <v>198939.61780000001</v>
      </c>
      <c r="AO466" s="66">
        <v>368126.84939787997</v>
      </c>
      <c r="AP466" s="128">
        <f>+N466-'Приложение №2'!E475</f>
        <v>0</v>
      </c>
      <c r="AQ466" s="39">
        <v>365168.99</v>
      </c>
      <c r="AR466" s="25">
        <f>+(K466*10.5+L466*21)*12*0.85</f>
        <v>63478.170000000006</v>
      </c>
      <c r="AS466" s="25">
        <f>+(K466*10.5+L466*21)*12*30</f>
        <v>2240406.0000000005</v>
      </c>
      <c r="AT466" s="127">
        <f>+S466-AS466</f>
        <v>-162080.48000000021</v>
      </c>
      <c r="AU466" s="127">
        <f>+P466-'[6]Приложение №1'!$P714</f>
        <v>0</v>
      </c>
      <c r="AV466" s="127">
        <f>+Q466-'[6]Приложение №1'!$Q714</f>
        <v>0</v>
      </c>
      <c r="AW466" s="88">
        <f>SUBTOTAL(9,AX466:BL466)</f>
        <v>4258070.3745964803</v>
      </c>
      <c r="AX466" s="64">
        <v>0</v>
      </c>
      <c r="AY466" s="64">
        <v>0</v>
      </c>
      <c r="AZ466" s="64"/>
      <c r="BA466" s="64"/>
      <c r="BB466" s="64"/>
      <c r="BC466" s="64"/>
      <c r="BD466" s="64"/>
      <c r="BE466" s="64">
        <v>0</v>
      </c>
      <c r="BF466" s="64">
        <v>0</v>
      </c>
      <c r="BG466" s="64">
        <v>0</v>
      </c>
      <c r="BH466" s="64">
        <v>0</v>
      </c>
      <c r="BI466" s="64">
        <v>4053675.3840281158</v>
      </c>
      <c r="BJ466" s="64">
        <v>87235.48</v>
      </c>
      <c r="BK466" s="65">
        <v>28513.84</v>
      </c>
      <c r="BL466" s="66">
        <v>88645.670568364687</v>
      </c>
    </row>
    <row r="467" spans="1:64" s="74" customFormat="1" x14ac:dyDescent="0.25">
      <c r="A467" s="141">
        <f t="shared" si="282"/>
        <v>449</v>
      </c>
      <c r="B467" s="142">
        <f t="shared" si="283"/>
        <v>261</v>
      </c>
      <c r="C467" s="62" t="s">
        <v>137</v>
      </c>
      <c r="D467" s="62" t="s">
        <v>906</v>
      </c>
      <c r="E467" s="123" t="s">
        <v>112</v>
      </c>
      <c r="F467" s="123" t="s">
        <v>112</v>
      </c>
      <c r="G467" s="123" t="s">
        <v>43</v>
      </c>
      <c r="H467" s="123" t="s">
        <v>108</v>
      </c>
      <c r="I467" s="123" t="s">
        <v>105</v>
      </c>
      <c r="J467" s="64">
        <v>4959.8999999999996</v>
      </c>
      <c r="K467" s="64">
        <v>4332.8999999999996</v>
      </c>
      <c r="L467" s="64">
        <v>85.1</v>
      </c>
      <c r="M467" s="124">
        <v>166</v>
      </c>
      <c r="N467" s="63">
        <f>SUM(O467:T467)</f>
        <v>10942766.959917923</v>
      </c>
      <c r="O467" s="64">
        <v>0</v>
      </c>
      <c r="P467" s="65"/>
      <c r="Q467" s="65">
        <v>0</v>
      </c>
      <c r="R467" s="65">
        <f>+AQ467+AR467</f>
        <v>3121953.1999999997</v>
      </c>
      <c r="S467" s="65">
        <f>+'Приложение №2'!E476-'Приложение №1'!R467</f>
        <v>7820813.7599179242</v>
      </c>
      <c r="T467" s="65">
        <v>0</v>
      </c>
      <c r="U467" s="65">
        <f>N467/K467</f>
        <v>2525.5064644736608</v>
      </c>
      <c r="V467" s="65">
        <v>1435.2830200640001</v>
      </c>
      <c r="W467" s="126">
        <v>2023</v>
      </c>
      <c r="X467" s="74">
        <v>1753600.15</v>
      </c>
      <c r="Y467" s="74">
        <f>+(K467*9.1+L467*18.19)*12</f>
        <v>491728.30799999984</v>
      </c>
      <c r="AA467" s="129">
        <f>+N467-'[5]Приложение № 2'!E681</f>
        <v>-444863.52288207598</v>
      </c>
      <c r="AD467" s="129">
        <f>+N467-'[5]Приложение № 2'!E681</f>
        <v>-444863.52288207598</v>
      </c>
      <c r="AP467" s="128">
        <f>+N467-'Приложение №2'!E476</f>
        <v>0</v>
      </c>
      <c r="AQ467" s="38">
        <v>2639671.19</v>
      </c>
      <c r="AR467" s="25">
        <f>+(K467*10.5+L467*21)*12*0.85</f>
        <v>482282.00999999995</v>
      </c>
      <c r="AS467" s="25">
        <f>+(K467*10.5+L467*21)*12*30</f>
        <v>17021718</v>
      </c>
      <c r="AT467" s="127">
        <f>+S467-AS467</f>
        <v>-9200904.2400820758</v>
      </c>
      <c r="AU467" s="127">
        <f>+P467-'[6]Приложение №1'!$P715</f>
        <v>0</v>
      </c>
      <c r="AV467" s="127">
        <f>+Q467-'[6]Приложение №1'!$Q715</f>
        <v>0</v>
      </c>
      <c r="AW467" s="88">
        <f>SUBTOTAL(9,AX467:BL467)</f>
        <v>10942766.959917923</v>
      </c>
      <c r="AX467" s="64"/>
      <c r="AY467" s="64"/>
      <c r="AZ467" s="64"/>
      <c r="BA467" s="64"/>
      <c r="BB467" s="64"/>
      <c r="BC467" s="64"/>
      <c r="BD467" s="64"/>
      <c r="BE467" s="64"/>
      <c r="BF467" s="64"/>
      <c r="BG467" s="64"/>
      <c r="BH467" s="64"/>
      <c r="BI467" s="64">
        <v>10595319.46242368</v>
      </c>
      <c r="BJ467" s="64">
        <v>87235.48</v>
      </c>
      <c r="BK467" s="65">
        <v>28513.84</v>
      </c>
      <c r="BL467" s="66">
        <v>231698.17749424357</v>
      </c>
    </row>
    <row r="468" spans="1:64" x14ac:dyDescent="0.25">
      <c r="A468" s="141">
        <f t="shared" si="282"/>
        <v>450</v>
      </c>
      <c r="B468" s="142">
        <f t="shared" si="283"/>
        <v>262</v>
      </c>
      <c r="C468" s="62" t="s">
        <v>62</v>
      </c>
      <c r="D468" s="62" t="s">
        <v>360</v>
      </c>
      <c r="E468" s="123">
        <v>1997</v>
      </c>
      <c r="F468" s="123">
        <v>2012</v>
      </c>
      <c r="G468" s="123" t="s">
        <v>43</v>
      </c>
      <c r="H468" s="123">
        <v>5</v>
      </c>
      <c r="I468" s="123">
        <v>4</v>
      </c>
      <c r="J468" s="64">
        <v>3981.21</v>
      </c>
      <c r="K468" s="64">
        <v>3474.7</v>
      </c>
      <c r="L468" s="64">
        <v>88.61</v>
      </c>
      <c r="M468" s="124">
        <v>114</v>
      </c>
      <c r="N468" s="95">
        <f t="shared" si="278"/>
        <v>1634270.6037864399</v>
      </c>
      <c r="O468" s="64"/>
      <c r="P468" s="65"/>
      <c r="Q468" s="65"/>
      <c r="R468" s="65">
        <f>+'Приложение №2'!E477</f>
        <v>1634270.6037864399</v>
      </c>
      <c r="S468" s="65">
        <f>+'Приложение №2'!E477-'Приложение №1'!R468</f>
        <v>0</v>
      </c>
      <c r="T468" s="65">
        <f>+'Приложение №2'!E477-'Приложение №1'!P468-'Приложение №1'!Q468-'Приложение №1'!R468-'Приложение №1'!S468</f>
        <v>0</v>
      </c>
      <c r="U468" s="64">
        <f t="shared" si="277"/>
        <v>458.63834574775694</v>
      </c>
      <c r="V468" s="64">
        <f t="shared" si="277"/>
        <v>458.63834574775694</v>
      </c>
      <c r="W468" s="126">
        <v>2023</v>
      </c>
      <c r="X468" s="127" t="e">
        <f>+#REF!-'[1]Приложение №1'!$P1142</f>
        <v>#REF!</v>
      </c>
      <c r="Z468" s="63">
        <f t="shared" si="269"/>
        <v>1574001.34</v>
      </c>
      <c r="AA468" s="64">
        <v>0</v>
      </c>
      <c r="AB468" s="64">
        <v>0</v>
      </c>
      <c r="AC468" s="64">
        <v>0</v>
      </c>
      <c r="AD468" s="64">
        <v>0</v>
      </c>
      <c r="AE468" s="64">
        <v>1062819.2208135601</v>
      </c>
      <c r="AF468" s="64"/>
      <c r="AG468" s="64">
        <v>0</v>
      </c>
      <c r="AH468" s="64">
        <v>0</v>
      </c>
      <c r="AI468" s="64">
        <v>0</v>
      </c>
      <c r="AJ468" s="64">
        <v>0</v>
      </c>
      <c r="AK468" s="64">
        <v>0</v>
      </c>
      <c r="AL468" s="64">
        <v>0</v>
      </c>
      <c r="AM468" s="64">
        <v>472200.402</v>
      </c>
      <c r="AN468" s="65">
        <v>15740.013400000002</v>
      </c>
      <c r="AO468" s="66">
        <v>23241.703786440004</v>
      </c>
      <c r="AP468" s="128">
        <f>+N468-'Приложение №2'!E477</f>
        <v>0</v>
      </c>
      <c r="AQ468" s="23">
        <v>1742724.96</v>
      </c>
      <c r="AR468" s="25">
        <f t="shared" ref="AR468:AR475" si="284">+(K468*10+L468*20)*12*0.85</f>
        <v>372495.83999999997</v>
      </c>
      <c r="AS468" s="25">
        <f>+(K468*10+L468*20)*12*30</f>
        <v>13146911.999999998</v>
      </c>
      <c r="AT468" s="127">
        <f t="shared" si="260"/>
        <v>-13146911.999999998</v>
      </c>
      <c r="AU468" s="127">
        <f>+P468-'[6]Приложение №1'!$P449</f>
        <v>-1386547.1137890664</v>
      </c>
      <c r="AV468" s="127">
        <f>+Q468-'[6]Приложение №1'!$Q449</f>
        <v>0</v>
      </c>
      <c r="AW468" s="63">
        <f t="shared" si="262"/>
        <v>1050228.8737864401</v>
      </c>
      <c r="AX468" s="64">
        <v>0</v>
      </c>
      <c r="AY468" s="64">
        <v>0</v>
      </c>
      <c r="AZ468" s="64">
        <v>0</v>
      </c>
      <c r="BA468" s="64">
        <v>0</v>
      </c>
      <c r="BB468" s="64">
        <v>1026987.1700000002</v>
      </c>
      <c r="BC468" s="64"/>
      <c r="BD468" s="64"/>
      <c r="BE468" s="64">
        <v>0</v>
      </c>
      <c r="BF468" s="64">
        <v>0</v>
      </c>
      <c r="BG468" s="64">
        <v>0</v>
      </c>
      <c r="BH468" s="64">
        <v>0</v>
      </c>
      <c r="BI468" s="64">
        <v>0</v>
      </c>
      <c r="BJ468" s="64"/>
      <c r="BK468" s="65"/>
      <c r="BL468" s="66">
        <v>23241.703786440004</v>
      </c>
    </row>
    <row r="469" spans="1:64" x14ac:dyDescent="0.25">
      <c r="A469" s="141">
        <f t="shared" si="282"/>
        <v>451</v>
      </c>
      <c r="B469" s="142">
        <f t="shared" si="283"/>
        <v>263</v>
      </c>
      <c r="C469" s="62" t="s">
        <v>62</v>
      </c>
      <c r="D469" s="62" t="s">
        <v>893</v>
      </c>
      <c r="E469" s="123">
        <v>1992</v>
      </c>
      <c r="F469" s="123">
        <v>2010</v>
      </c>
      <c r="G469" s="123" t="s">
        <v>43</v>
      </c>
      <c r="H469" s="123">
        <v>2</v>
      </c>
      <c r="I469" s="123">
        <v>2</v>
      </c>
      <c r="J469" s="64">
        <v>1132.5999999999999</v>
      </c>
      <c r="K469" s="64">
        <v>869.3</v>
      </c>
      <c r="L469" s="64">
        <v>263.3</v>
      </c>
      <c r="M469" s="124">
        <v>31</v>
      </c>
      <c r="N469" s="95">
        <f t="shared" si="278"/>
        <v>5253658.67047418</v>
      </c>
      <c r="O469" s="64"/>
      <c r="P469" s="65"/>
      <c r="Q469" s="65"/>
      <c r="R469" s="65">
        <v>286699.09000000003</v>
      </c>
      <c r="S469" s="65"/>
      <c r="T469" s="65">
        <f>+'Приложение №2'!E478-'Приложение №1'!P469-'Приложение №1'!Q469-'Приложение №1'!R469-'Приложение №1'!S469</f>
        <v>4966959.5804741802</v>
      </c>
      <c r="U469" s="64">
        <f t="shared" si="277"/>
        <v>4638.5826156402791</v>
      </c>
      <c r="V469" s="64">
        <f t="shared" si="277"/>
        <v>4638.5826156402791</v>
      </c>
      <c r="W469" s="126">
        <v>2023</v>
      </c>
      <c r="X469" s="127" t="e">
        <f>+#REF!-'[1]Приложение №1'!$P1143</f>
        <v>#REF!</v>
      </c>
      <c r="Z469" s="63">
        <f t="shared" si="269"/>
        <v>458770.53</v>
      </c>
      <c r="AA469" s="64">
        <v>0</v>
      </c>
      <c r="AB469" s="64">
        <v>0</v>
      </c>
      <c r="AC469" s="64">
        <v>0</v>
      </c>
      <c r="AD469" s="64">
        <v>0</v>
      </c>
      <c r="AE469" s="64">
        <v>309777.46005402005</v>
      </c>
      <c r="AF469" s="64"/>
      <c r="AG469" s="64">
        <v>0</v>
      </c>
      <c r="AH469" s="64">
        <v>0</v>
      </c>
      <c r="AI469" s="64">
        <v>0</v>
      </c>
      <c r="AJ469" s="64">
        <v>0</v>
      </c>
      <c r="AK469" s="64">
        <v>0</v>
      </c>
      <c r="AL469" s="64">
        <v>0</v>
      </c>
      <c r="AM469" s="64">
        <v>137631.15900000001</v>
      </c>
      <c r="AN469" s="65">
        <v>4587.7053000000005</v>
      </c>
      <c r="AO469" s="66">
        <v>6774.2056459800015</v>
      </c>
      <c r="AP469" s="128">
        <f>+N469-'Приложение №2'!E478</f>
        <v>0</v>
      </c>
      <c r="AQ469" s="23">
        <f>467298.54-180991.88</f>
        <v>286306.65999999997</v>
      </c>
      <c r="AR469" s="25">
        <f t="shared" si="284"/>
        <v>142381.79999999999</v>
      </c>
      <c r="AS469" s="25">
        <f>+(K469*10+L469*20)*12*30-1001.27</f>
        <v>5024238.7300000004</v>
      </c>
      <c r="AT469" s="127">
        <f t="shared" si="260"/>
        <v>-5024238.7300000004</v>
      </c>
      <c r="AU469" s="127" t="e">
        <f>+#REF!-'[6]Приложение №1'!$P450</f>
        <v>#REF!</v>
      </c>
      <c r="AV469" s="127">
        <f>+Q469-'[6]Приложение №1'!$Q450</f>
        <v>0</v>
      </c>
      <c r="AW469" s="63">
        <f t="shared" si="262"/>
        <v>5253658.67047418</v>
      </c>
      <c r="AX469" s="64">
        <v>0</v>
      </c>
      <c r="AY469" s="64">
        <v>0</v>
      </c>
      <c r="AZ469" s="64">
        <v>0</v>
      </c>
      <c r="BA469" s="64">
        <v>0</v>
      </c>
      <c r="BB469" s="64">
        <v>316916.15000000002</v>
      </c>
      <c r="BC469" s="64"/>
      <c r="BD469" s="64"/>
      <c r="BE469" s="64">
        <v>0</v>
      </c>
      <c r="BF469" s="64">
        <v>0</v>
      </c>
      <c r="BG469" s="64">
        <v>0</v>
      </c>
      <c r="BH469" s="64">
        <v>0</v>
      </c>
      <c r="BI469" s="64">
        <v>4929968.3148281993</v>
      </c>
      <c r="BJ469" s="64"/>
      <c r="BK469" s="65"/>
      <c r="BL469" s="66">
        <v>6774.2056459800015</v>
      </c>
    </row>
    <row r="470" spans="1:64" x14ac:dyDescent="0.25">
      <c r="A470" s="141">
        <f t="shared" si="282"/>
        <v>452</v>
      </c>
      <c r="B470" s="142">
        <f t="shared" si="283"/>
        <v>264</v>
      </c>
      <c r="C470" s="62" t="s">
        <v>62</v>
      </c>
      <c r="D470" s="62" t="s">
        <v>894</v>
      </c>
      <c r="E470" s="123">
        <v>1993</v>
      </c>
      <c r="F470" s="123">
        <v>2009</v>
      </c>
      <c r="G470" s="123" t="s">
        <v>43</v>
      </c>
      <c r="H470" s="123">
        <v>2</v>
      </c>
      <c r="I470" s="123">
        <v>2</v>
      </c>
      <c r="J470" s="64">
        <v>1119.8</v>
      </c>
      <c r="K470" s="64">
        <v>862.9</v>
      </c>
      <c r="L470" s="64">
        <v>256.89999999999998</v>
      </c>
      <c r="M470" s="124">
        <v>33</v>
      </c>
      <c r="N470" s="95">
        <f t="shared" si="278"/>
        <v>5267989.1763434606</v>
      </c>
      <c r="O470" s="64"/>
      <c r="P470" s="65"/>
      <c r="Q470" s="65"/>
      <c r="R470" s="65">
        <v>318383.06</v>
      </c>
      <c r="S470" s="65"/>
      <c r="T470" s="65">
        <f>+'Приложение №2'!E479-'Приложение №1'!P470-'Приложение №1'!Q470-'Приложение №1'!R470-'Приложение №1'!S470</f>
        <v>4949606.116343461</v>
      </c>
      <c r="U470" s="64">
        <f t="shared" si="277"/>
        <v>4704.4018363488667</v>
      </c>
      <c r="V470" s="64">
        <f t="shared" si="277"/>
        <v>4704.4018363488667</v>
      </c>
      <c r="W470" s="126">
        <v>2023</v>
      </c>
      <c r="X470" s="127" t="e">
        <f>+#REF!-'[1]Приложение №1'!$P1144</f>
        <v>#REF!</v>
      </c>
      <c r="Z470" s="63">
        <f t="shared" si="269"/>
        <v>404572.72000000003</v>
      </c>
      <c r="AA470" s="64">
        <v>0</v>
      </c>
      <c r="AB470" s="64">
        <v>0</v>
      </c>
      <c r="AC470" s="64">
        <v>0</v>
      </c>
      <c r="AD470" s="64">
        <v>0</v>
      </c>
      <c r="AE470" s="64">
        <v>318383.06</v>
      </c>
      <c r="AF470" s="64"/>
      <c r="AG470" s="64">
        <v>0</v>
      </c>
      <c r="AH470" s="64">
        <v>0</v>
      </c>
      <c r="AI470" s="64">
        <v>0</v>
      </c>
      <c r="AJ470" s="64">
        <v>0</v>
      </c>
      <c r="AK470" s="64">
        <v>0</v>
      </c>
      <c r="AL470" s="64">
        <v>0</v>
      </c>
      <c r="AM470" s="64">
        <v>80238.25</v>
      </c>
      <c r="AN470" s="65">
        <v>3333.33</v>
      </c>
      <c r="AO470" s="66">
        <v>2618.08</v>
      </c>
      <c r="AP470" s="128">
        <f>+N470-'Приложение №2'!E479</f>
        <v>0</v>
      </c>
      <c r="AQ470" s="23">
        <f>384509.89-236084.3854</f>
        <v>148425.50460000001</v>
      </c>
      <c r="AR470" s="25">
        <f t="shared" si="284"/>
        <v>140423.4</v>
      </c>
      <c r="AS470" s="25">
        <f>+(K470*10+L470*20)*12*30-325085.89</f>
        <v>4631034.1100000003</v>
      </c>
      <c r="AT470" s="127">
        <f t="shared" ref="AT470:AT550" si="285">+S470-AS470</f>
        <v>-4631034.1100000003</v>
      </c>
      <c r="AU470" s="127">
        <f>+P470-'[6]Приложение №1'!$P451</f>
        <v>-3797418.9970000004</v>
      </c>
      <c r="AV470" s="127">
        <f>+Q470-'[6]Приложение №1'!$Q451</f>
        <v>0</v>
      </c>
      <c r="AW470" s="63">
        <f t="shared" si="262"/>
        <v>5267989.1763434606</v>
      </c>
      <c r="AX470" s="64">
        <v>0</v>
      </c>
      <c r="AY470" s="64">
        <v>0</v>
      </c>
      <c r="AZ470" s="64">
        <v>0</v>
      </c>
      <c r="BA470" s="64">
        <v>0</v>
      </c>
      <c r="BB470" s="64">
        <v>375448.21</v>
      </c>
      <c r="BC470" s="64"/>
      <c r="BD470" s="64"/>
      <c r="BE470" s="64">
        <v>0</v>
      </c>
      <c r="BF470" s="64">
        <v>0</v>
      </c>
      <c r="BG470" s="64">
        <v>0</v>
      </c>
      <c r="BH470" s="64">
        <v>0</v>
      </c>
      <c r="BI470" s="64">
        <v>4889922.8863434605</v>
      </c>
      <c r="BJ470" s="64"/>
      <c r="BK470" s="65"/>
      <c r="BL470" s="66">
        <v>2618.08</v>
      </c>
    </row>
    <row r="471" spans="1:64" x14ac:dyDescent="0.25">
      <c r="A471" s="141">
        <f t="shared" si="282"/>
        <v>453</v>
      </c>
      <c r="B471" s="142">
        <f t="shared" si="283"/>
        <v>265</v>
      </c>
      <c r="C471" s="62" t="s">
        <v>63</v>
      </c>
      <c r="D471" s="62" t="s">
        <v>896</v>
      </c>
      <c r="E471" s="123">
        <v>1974</v>
      </c>
      <c r="F471" s="123">
        <v>2011</v>
      </c>
      <c r="G471" s="123" t="s">
        <v>43</v>
      </c>
      <c r="H471" s="123">
        <v>5</v>
      </c>
      <c r="I471" s="123">
        <v>4</v>
      </c>
      <c r="J471" s="64">
        <v>3194.1</v>
      </c>
      <c r="K471" s="64">
        <v>1856.9</v>
      </c>
      <c r="L471" s="64">
        <v>1224.7</v>
      </c>
      <c r="M471" s="124">
        <v>88</v>
      </c>
      <c r="N471" s="95">
        <f t="shared" si="278"/>
        <v>1247394.4612871199</v>
      </c>
      <c r="O471" s="64"/>
      <c r="P471" s="65"/>
      <c r="Q471" s="65"/>
      <c r="R471" s="65">
        <v>527720.56000000006</v>
      </c>
      <c r="S471" s="65">
        <f>+'Приложение №2'!E480-'Приложение №1'!R471</f>
        <v>719673.90128711984</v>
      </c>
      <c r="T471" s="65">
        <f>+'Приложение №2'!E480-'Приложение №1'!P471-'Приложение №1'!Q471-'Приложение №1'!R471-'Приложение №1'!S471</f>
        <v>0</v>
      </c>
      <c r="U471" s="64">
        <f t="shared" si="277"/>
        <v>404.78792227645368</v>
      </c>
      <c r="V471" s="64">
        <f t="shared" si="277"/>
        <v>404.78792227645368</v>
      </c>
      <c r="W471" s="126">
        <v>2023</v>
      </c>
      <c r="X471" s="127" t="e">
        <f>+#REF!-'[1]Приложение №1'!$P1547</f>
        <v>#REF!</v>
      </c>
      <c r="Z471" s="63">
        <f t="shared" si="269"/>
        <v>9392640.5899999999</v>
      </c>
      <c r="AA471" s="64">
        <v>0</v>
      </c>
      <c r="AB471" s="64">
        <v>0</v>
      </c>
      <c r="AC471" s="64">
        <v>0</v>
      </c>
      <c r="AD471" s="64">
        <v>0</v>
      </c>
      <c r="AE471" s="64">
        <v>1022757.2702335803</v>
      </c>
      <c r="AF471" s="64"/>
      <c r="AG471" s="64">
        <v>0</v>
      </c>
      <c r="AH471" s="64">
        <v>0</v>
      </c>
      <c r="AI471" s="64">
        <v>0</v>
      </c>
      <c r="AJ471" s="64">
        <v>0</v>
      </c>
      <c r="AK471" s="64">
        <v>0</v>
      </c>
      <c r="AL471" s="64">
        <v>6861349.2395128794</v>
      </c>
      <c r="AM471" s="64">
        <v>1242198.233</v>
      </c>
      <c r="AN471" s="65">
        <v>93926.405899999998</v>
      </c>
      <c r="AO471" s="66">
        <v>172409.44135354002</v>
      </c>
      <c r="AP471" s="128">
        <f>+N471-'Приложение №2'!E480</f>
        <v>0</v>
      </c>
      <c r="AQ471" s="23">
        <f>1878287.66-954525.39</f>
        <v>923762.2699999999</v>
      </c>
      <c r="AR471" s="25">
        <f t="shared" si="284"/>
        <v>439242.6</v>
      </c>
      <c r="AS471" s="25">
        <f>+(K471*10+L471*20)*12*30-119920.72-2599968.3</f>
        <v>12782790.98</v>
      </c>
      <c r="AT471" s="127">
        <f t="shared" si="285"/>
        <v>-12063117.078712881</v>
      </c>
      <c r="AU471" s="127">
        <f>+P471-'[6]Приложение №1'!$P454</f>
        <v>0</v>
      </c>
      <c r="AV471" s="127">
        <f>+Q471-'[6]Приложение №1'!$Q454</f>
        <v>0</v>
      </c>
      <c r="AW471" s="63">
        <f t="shared" si="262"/>
        <v>1247394.4612871199</v>
      </c>
      <c r="AX471" s="64">
        <v>0</v>
      </c>
      <c r="AY471" s="64">
        <v>0</v>
      </c>
      <c r="AZ471" s="64">
        <v>0</v>
      </c>
      <c r="BA471" s="64">
        <v>0</v>
      </c>
      <c r="BB471" s="64"/>
      <c r="BC471" s="64"/>
      <c r="BD471" s="64"/>
      <c r="BE471" s="64">
        <v>0</v>
      </c>
      <c r="BF471" s="64">
        <v>0</v>
      </c>
      <c r="BG471" s="64">
        <v>0</v>
      </c>
      <c r="BH471" s="64">
        <v>0</v>
      </c>
      <c r="BI471" s="64">
        <v>1097350.6499999999</v>
      </c>
      <c r="BJ471" s="64"/>
      <c r="BK471" s="65"/>
      <c r="BL471" s="66">
        <v>150043.81128712001</v>
      </c>
    </row>
    <row r="472" spans="1:64" x14ac:dyDescent="0.25">
      <c r="A472" s="141">
        <f t="shared" si="282"/>
        <v>454</v>
      </c>
      <c r="B472" s="142">
        <f t="shared" si="283"/>
        <v>266</v>
      </c>
      <c r="C472" s="62" t="s">
        <v>63</v>
      </c>
      <c r="D472" s="62" t="s">
        <v>367</v>
      </c>
      <c r="E472" s="123">
        <v>1969</v>
      </c>
      <c r="F472" s="123">
        <v>2009</v>
      </c>
      <c r="G472" s="123" t="s">
        <v>43</v>
      </c>
      <c r="H472" s="123">
        <v>4</v>
      </c>
      <c r="I472" s="123">
        <v>4</v>
      </c>
      <c r="J472" s="64">
        <v>2719.1</v>
      </c>
      <c r="K472" s="64">
        <v>2454</v>
      </c>
      <c r="L472" s="64">
        <v>66.5</v>
      </c>
      <c r="M472" s="124">
        <v>120</v>
      </c>
      <c r="N472" s="63">
        <f t="shared" si="278"/>
        <v>6512366.1313439999</v>
      </c>
      <c r="O472" s="64"/>
      <c r="P472" s="65">
        <v>671332.45</v>
      </c>
      <c r="Q472" s="65"/>
      <c r="R472" s="65">
        <v>0</v>
      </c>
      <c r="S472" s="65">
        <f>+'Приложение №2'!E481-'Приложение №1'!R472-P472</f>
        <v>5841033.6813439997</v>
      </c>
      <c r="T472" s="64">
        <f>+'Приложение №2'!E481-'Приложение №1'!P472-'Приложение №1'!Q472-'Приложение №1'!R472-'Приложение №1'!S472</f>
        <v>0</v>
      </c>
      <c r="U472" s="65">
        <f t="shared" si="277"/>
        <v>2583.7596236238842</v>
      </c>
      <c r="V472" s="65">
        <f t="shared" si="277"/>
        <v>2583.7596236238842</v>
      </c>
      <c r="W472" s="126">
        <v>2023</v>
      </c>
      <c r="X472" s="127" t="e">
        <f>+#REF!-'[1]Приложение №1'!$P2022</f>
        <v>#REF!</v>
      </c>
      <c r="Z472" s="63">
        <f t="shared" si="269"/>
        <v>14067048.463401999</v>
      </c>
      <c r="AA472" s="64">
        <v>0</v>
      </c>
      <c r="AB472" s="64">
        <v>0</v>
      </c>
      <c r="AC472" s="64">
        <v>0</v>
      </c>
      <c r="AD472" s="64">
        <v>0</v>
      </c>
      <c r="AE472" s="64">
        <v>850099.92968124012</v>
      </c>
      <c r="AF472" s="64"/>
      <c r="AG472" s="64">
        <v>0</v>
      </c>
      <c r="AH472" s="64">
        <v>0</v>
      </c>
      <c r="AI472" s="64">
        <v>0</v>
      </c>
      <c r="AJ472" s="64">
        <v>0</v>
      </c>
      <c r="AK472" s="64">
        <v>6122487.8099999996</v>
      </c>
      <c r="AL472" s="64">
        <v>6280344.04</v>
      </c>
      <c r="AM472" s="64">
        <v>592071.17800000007</v>
      </c>
      <c r="AN472" s="65">
        <v>53956.358600000007</v>
      </c>
      <c r="AO472" s="66">
        <v>168089.14712076</v>
      </c>
      <c r="AP472" s="128">
        <f>+N472-'Приложение №2'!E481</f>
        <v>0</v>
      </c>
      <c r="AQ472" s="127">
        <f>882910.83-R200</f>
        <v>-280632.59999999998</v>
      </c>
      <c r="AR472" s="25">
        <f t="shared" si="284"/>
        <v>263874</v>
      </c>
      <c r="AS472" s="25">
        <f>+(K472*10+L472*20)*12*30-S200</f>
        <v>4210775.4186559999</v>
      </c>
      <c r="AT472" s="127">
        <f t="shared" si="285"/>
        <v>1630258.2626879998</v>
      </c>
      <c r="AW472" s="63">
        <f t="shared" si="262"/>
        <v>6512366.1313439999</v>
      </c>
      <c r="AX472" s="64">
        <v>0</v>
      </c>
      <c r="AY472" s="64">
        <v>0</v>
      </c>
      <c r="AZ472" s="64">
        <v>0</v>
      </c>
      <c r="BA472" s="64">
        <v>0</v>
      </c>
      <c r="BB472" s="64"/>
      <c r="BC472" s="64"/>
      <c r="BD472" s="64"/>
      <c r="BE472" s="64">
        <v>0</v>
      </c>
      <c r="BF472" s="64">
        <v>0</v>
      </c>
      <c r="BG472" s="64">
        <v>0</v>
      </c>
      <c r="BH472" s="64"/>
      <c r="BI472" s="64">
        <v>6360000</v>
      </c>
      <c r="BJ472" s="64"/>
      <c r="BK472" s="65"/>
      <c r="BL472" s="66">
        <v>152366.13134399999</v>
      </c>
    </row>
    <row r="473" spans="1:64" x14ac:dyDescent="0.25">
      <c r="A473" s="141">
        <f t="shared" si="282"/>
        <v>455</v>
      </c>
      <c r="B473" s="142">
        <f t="shared" si="283"/>
        <v>267</v>
      </c>
      <c r="C473" s="62" t="s">
        <v>63</v>
      </c>
      <c r="D473" s="62" t="s">
        <v>365</v>
      </c>
      <c r="E473" s="123">
        <v>1973</v>
      </c>
      <c r="F473" s="123">
        <v>2010</v>
      </c>
      <c r="G473" s="123" t="s">
        <v>43</v>
      </c>
      <c r="H473" s="123">
        <v>5</v>
      </c>
      <c r="I473" s="123">
        <v>4</v>
      </c>
      <c r="J473" s="64">
        <v>3449.3</v>
      </c>
      <c r="K473" s="64">
        <v>3117.4</v>
      </c>
      <c r="L473" s="64">
        <v>171.7</v>
      </c>
      <c r="M473" s="124">
        <v>147</v>
      </c>
      <c r="N473" s="95">
        <f t="shared" si="278"/>
        <v>6210065.9474952389</v>
      </c>
      <c r="O473" s="64"/>
      <c r="P473" s="65">
        <v>2605661.0315339789</v>
      </c>
      <c r="Q473" s="65"/>
      <c r="R473" s="65">
        <f>+AQ473+AR473</f>
        <v>621865.63000000012</v>
      </c>
      <c r="S473" s="65">
        <f>+'Приложение №2'!E482-'Приложение №1'!P473-'Приложение №1'!Q473-'Приложение №1'!R473</f>
        <v>2982539.2859612601</v>
      </c>
      <c r="T473" s="65">
        <f>+'Приложение №2'!E482-'Приложение №1'!P473-'Приложение №1'!Q473-'Приложение №1'!R473-'Приложение №1'!S473</f>
        <v>0</v>
      </c>
      <c r="U473" s="64">
        <f t="shared" si="277"/>
        <v>1888.0745333055361</v>
      </c>
      <c r="V473" s="64">
        <f t="shared" si="277"/>
        <v>1888.0745333055361</v>
      </c>
      <c r="W473" s="126">
        <v>2023</v>
      </c>
      <c r="X473" s="127" t="e">
        <f>+#REF!-'[1]Приложение №1'!$P1584</f>
        <v>#REF!</v>
      </c>
      <c r="Z473" s="63">
        <f t="shared" si="269"/>
        <v>17920574.470533662</v>
      </c>
      <c r="AA473" s="64"/>
      <c r="AB473" s="64">
        <v>0</v>
      </c>
      <c r="AC473" s="64">
        <v>0</v>
      </c>
      <c r="AD473" s="64">
        <v>0</v>
      </c>
      <c r="AE473" s="64">
        <v>1035545.4729408602</v>
      </c>
      <c r="AF473" s="64"/>
      <c r="AG473" s="64">
        <v>0</v>
      </c>
      <c r="AH473" s="64">
        <v>0</v>
      </c>
      <c r="AI473" s="64">
        <v>0</v>
      </c>
      <c r="AJ473" s="64">
        <v>0</v>
      </c>
      <c r="AK473" s="64">
        <v>6731411.6906387396</v>
      </c>
      <c r="AL473" s="64">
        <v>6947141.1784660202</v>
      </c>
      <c r="AM473" s="64">
        <v>2528780.7582</v>
      </c>
      <c r="AN473" s="65">
        <v>234660.19320000001</v>
      </c>
      <c r="AO473" s="66">
        <v>443035.17708804004</v>
      </c>
      <c r="AP473" s="128">
        <f>+N473-'Приложение №2'!E482</f>
        <v>0</v>
      </c>
      <c r="AQ473" s="23">
        <f>1240910.11-689425.44-282620.64</f>
        <v>268864.03000000014</v>
      </c>
      <c r="AR473" s="25">
        <f t="shared" si="284"/>
        <v>353001.6</v>
      </c>
      <c r="AS473" s="25">
        <f>+(K473*10+L473*20)*12*30-3027646.57-12468.88</f>
        <v>9418764.5499999989</v>
      </c>
      <c r="AT473" s="127">
        <f t="shared" si="285"/>
        <v>-6436225.2640387388</v>
      </c>
      <c r="AU473" s="127">
        <f>+P473-'[6]Приложение №1'!$P455</f>
        <v>0</v>
      </c>
      <c r="AV473" s="127">
        <f>+Q473-'[6]Приложение №1'!$Q455</f>
        <v>0</v>
      </c>
      <c r="AW473" s="63">
        <f t="shared" si="262"/>
        <v>6210065.9474952389</v>
      </c>
      <c r="AX473" s="64"/>
      <c r="AY473" s="64">
        <v>0</v>
      </c>
      <c r="AZ473" s="64">
        <v>0</v>
      </c>
      <c r="BA473" s="64">
        <v>0</v>
      </c>
      <c r="BB473" s="64"/>
      <c r="BC473" s="64"/>
      <c r="BD473" s="64"/>
      <c r="BE473" s="64">
        <v>0</v>
      </c>
      <c r="BF473" s="64">
        <v>0</v>
      </c>
      <c r="BG473" s="64">
        <v>0</v>
      </c>
      <c r="BH473" s="64">
        <v>5910943.6999999993</v>
      </c>
      <c r="BI473" s="64"/>
      <c r="BJ473" s="64"/>
      <c r="BK473" s="65"/>
      <c r="BL473" s="66">
        <v>299122.24749524001</v>
      </c>
    </row>
    <row r="474" spans="1:64" x14ac:dyDescent="0.25">
      <c r="A474" s="141">
        <f t="shared" si="282"/>
        <v>456</v>
      </c>
      <c r="B474" s="142">
        <f t="shared" si="283"/>
        <v>268</v>
      </c>
      <c r="C474" s="62" t="s">
        <v>63</v>
      </c>
      <c r="D474" s="62" t="s">
        <v>897</v>
      </c>
      <c r="E474" s="123">
        <v>1985</v>
      </c>
      <c r="F474" s="123">
        <v>2011</v>
      </c>
      <c r="G474" s="123" t="s">
        <v>43</v>
      </c>
      <c r="H474" s="123">
        <v>5</v>
      </c>
      <c r="I474" s="123">
        <v>2</v>
      </c>
      <c r="J474" s="64">
        <v>1696.6</v>
      </c>
      <c r="K474" s="64">
        <v>1532.2</v>
      </c>
      <c r="L474" s="64">
        <v>54.4</v>
      </c>
      <c r="M474" s="124">
        <v>58</v>
      </c>
      <c r="N474" s="95">
        <f t="shared" si="278"/>
        <v>549645.73751071992</v>
      </c>
      <c r="O474" s="64"/>
      <c r="P474" s="65">
        <v>0</v>
      </c>
      <c r="Q474" s="65"/>
      <c r="R474" s="65">
        <f>+AQ474+AR474</f>
        <v>0</v>
      </c>
      <c r="S474" s="65">
        <v>320937.5</v>
      </c>
      <c r="T474" s="65">
        <f>+'Приложение №2'!E483-'Приложение №1'!P474-'Приложение №1'!Q474-'Приложение №1'!R474-'Приложение №1'!S474</f>
        <v>228708.23751071992</v>
      </c>
      <c r="U474" s="65">
        <f t="shared" si="277"/>
        <v>346.42993666375889</v>
      </c>
      <c r="V474" s="65">
        <f t="shared" si="277"/>
        <v>346.42993666375889</v>
      </c>
      <c r="W474" s="126">
        <v>2023</v>
      </c>
      <c r="X474" s="127" t="e">
        <f>+#REF!-'[1]Приложение №1'!$P1177</f>
        <v>#REF!</v>
      </c>
      <c r="Z474" s="63">
        <f t="shared" si="269"/>
        <v>6417929.1893379986</v>
      </c>
      <c r="AA474" s="64">
        <v>2736613.7104324196</v>
      </c>
      <c r="AB474" s="64">
        <v>0</v>
      </c>
      <c r="AC474" s="64">
        <v>1280803.3788694199</v>
      </c>
      <c r="AD474" s="64">
        <v>849765.59</v>
      </c>
      <c r="AE474" s="64">
        <v>511029.86662728002</v>
      </c>
      <c r="AF474" s="64"/>
      <c r="AG474" s="64">
        <v>140523.24640871998</v>
      </c>
      <c r="AH474" s="64">
        <v>0</v>
      </c>
      <c r="AI474" s="64">
        <v>0</v>
      </c>
      <c r="AJ474" s="64">
        <v>0</v>
      </c>
      <c r="AK474" s="64">
        <v>0</v>
      </c>
      <c r="AL474" s="64">
        <v>0</v>
      </c>
      <c r="AM474" s="64">
        <v>731735.25000000012</v>
      </c>
      <c r="AN474" s="65">
        <v>56969.515600000006</v>
      </c>
      <c r="AO474" s="66">
        <v>110488.63140016003</v>
      </c>
      <c r="AP474" s="128">
        <f>+N474-'Приложение №2'!E483</f>
        <v>0</v>
      </c>
      <c r="AQ474" s="127">
        <f>660207.23-R198</f>
        <v>-167382</v>
      </c>
      <c r="AR474" s="25">
        <f t="shared" si="284"/>
        <v>167382</v>
      </c>
      <c r="AS474" s="25">
        <f>+(K474*10+L474*20)*12*30-S198</f>
        <v>5556218.7424892802</v>
      </c>
      <c r="AT474" s="127">
        <f t="shared" si="285"/>
        <v>-5235281.2424892802</v>
      </c>
      <c r="AU474" s="127">
        <f>+P474-'[6]Приложение №1'!$P456</f>
        <v>0</v>
      </c>
      <c r="AV474" s="127">
        <f>+Q474-'[6]Приложение №1'!$Q456</f>
        <v>0</v>
      </c>
      <c r="AW474" s="63">
        <f t="shared" si="262"/>
        <v>549645.73751071992</v>
      </c>
      <c r="AX474" s="64"/>
      <c r="AY474" s="64"/>
      <c r="AZ474" s="64"/>
      <c r="BA474" s="64"/>
      <c r="BB474" s="64">
        <v>530082.84</v>
      </c>
      <c r="BC474" s="64"/>
      <c r="BD474" s="64"/>
      <c r="BE474" s="64">
        <v>0</v>
      </c>
      <c r="BF474" s="64">
        <v>0</v>
      </c>
      <c r="BG474" s="64">
        <v>0</v>
      </c>
      <c r="BH474" s="64">
        <v>0</v>
      </c>
      <c r="BI474" s="64">
        <v>0</v>
      </c>
      <c r="BJ474" s="64"/>
      <c r="BK474" s="65"/>
      <c r="BL474" s="66">
        <v>19562.897510720002</v>
      </c>
    </row>
    <row r="475" spans="1:64" x14ac:dyDescent="0.25">
      <c r="A475" s="141">
        <f t="shared" si="282"/>
        <v>457</v>
      </c>
      <c r="B475" s="142">
        <f t="shared" si="283"/>
        <v>269</v>
      </c>
      <c r="C475" s="62" t="s">
        <v>63</v>
      </c>
      <c r="D475" s="62" t="s">
        <v>366</v>
      </c>
      <c r="E475" s="123">
        <v>1970</v>
      </c>
      <c r="F475" s="123">
        <v>2010</v>
      </c>
      <c r="G475" s="123" t="s">
        <v>43</v>
      </c>
      <c r="H475" s="123">
        <v>5</v>
      </c>
      <c r="I475" s="123">
        <v>4</v>
      </c>
      <c r="J475" s="64">
        <v>3258</v>
      </c>
      <c r="K475" s="64">
        <v>3018.9</v>
      </c>
      <c r="L475" s="64">
        <v>0</v>
      </c>
      <c r="M475" s="124">
        <v>132</v>
      </c>
      <c r="N475" s="95">
        <f t="shared" si="278"/>
        <v>13274787.34</v>
      </c>
      <c r="O475" s="64"/>
      <c r="P475" s="65">
        <v>2067746.9300000002</v>
      </c>
      <c r="Q475" s="65"/>
      <c r="R475" s="65">
        <f>+AQ475+AR475</f>
        <v>652968.09999999986</v>
      </c>
      <c r="S475" s="65">
        <f>+'Приложение №2'!E484-'Приложение №1'!P475-'Приложение №1'!Q475-'Приложение №1'!R475</f>
        <v>10554072.310000001</v>
      </c>
      <c r="T475" s="64">
        <f>+'Приложение №2'!E484-'Приложение №1'!P475-'Приложение №1'!Q475-'Приложение №1'!R475-'Приложение №1'!S475</f>
        <v>0</v>
      </c>
      <c r="U475" s="65">
        <f t="shared" si="277"/>
        <v>4397.2265858425253</v>
      </c>
      <c r="V475" s="65">
        <f t="shared" si="277"/>
        <v>4397.2265858425253</v>
      </c>
      <c r="W475" s="126">
        <v>2023</v>
      </c>
      <c r="X475" s="127" t="e">
        <f>+#REF!-'[1]Приложение №1'!$P1583</f>
        <v>#REF!</v>
      </c>
      <c r="Z475" s="63">
        <f t="shared" si="269"/>
        <v>13575281.439999999</v>
      </c>
      <c r="AA475" s="64">
        <v>0</v>
      </c>
      <c r="AB475" s="64">
        <v>0</v>
      </c>
      <c r="AC475" s="64">
        <v>0</v>
      </c>
      <c r="AD475" s="64">
        <v>0</v>
      </c>
      <c r="AE475" s="64">
        <v>0</v>
      </c>
      <c r="AF475" s="64"/>
      <c r="AG475" s="64">
        <v>0</v>
      </c>
      <c r="AH475" s="64">
        <v>0</v>
      </c>
      <c r="AI475" s="64">
        <v>0</v>
      </c>
      <c r="AJ475" s="64">
        <v>0</v>
      </c>
      <c r="AK475" s="64">
        <v>7231455.4199999999</v>
      </c>
      <c r="AL475" s="64">
        <v>5881945.1900000004</v>
      </c>
      <c r="AM475" s="64">
        <f>139621.27+118844.77</f>
        <v>258466.03999999998</v>
      </c>
      <c r="AN475" s="65">
        <f>5000+37028.06</f>
        <v>42028.06</v>
      </c>
      <c r="AO475" s="66">
        <f>88997.58+72389.15</f>
        <v>161386.72999999998</v>
      </c>
      <c r="AP475" s="128">
        <f>+N475-'Приложение №2'!E484</f>
        <v>0</v>
      </c>
      <c r="AQ475" s="23">
        <f>1025494.69-680454.39</f>
        <v>345040.29999999993</v>
      </c>
      <c r="AR475" s="25">
        <f t="shared" si="284"/>
        <v>307927.8</v>
      </c>
      <c r="AS475" s="25">
        <f>+(K475*10+L475*20)*12*30-16805.39</f>
        <v>10851234.609999999</v>
      </c>
      <c r="AT475" s="127">
        <f t="shared" si="285"/>
        <v>-297162.29999999888</v>
      </c>
      <c r="AU475" s="127">
        <f>+P475-'[6]Приложение №1'!$P457</f>
        <v>0</v>
      </c>
      <c r="AV475" s="127">
        <f>+Q475-'[6]Приложение №1'!$Q457</f>
        <v>0</v>
      </c>
      <c r="AW475" s="63">
        <f t="shared" si="262"/>
        <v>13274787.34</v>
      </c>
      <c r="AX475" s="64">
        <v>0</v>
      </c>
      <c r="AY475" s="64">
        <v>0</v>
      </c>
      <c r="AZ475" s="64">
        <v>0</v>
      </c>
      <c r="BA475" s="64">
        <v>0</v>
      </c>
      <c r="BB475" s="64">
        <v>0</v>
      </c>
      <c r="BC475" s="64"/>
      <c r="BD475" s="64"/>
      <c r="BE475" s="64">
        <v>0</v>
      </c>
      <c r="BF475" s="64">
        <v>0</v>
      </c>
      <c r="BG475" s="64">
        <v>0</v>
      </c>
      <c r="BH475" s="64">
        <v>7231455.4199999999</v>
      </c>
      <c r="BI475" s="64">
        <v>5881945.1899999995</v>
      </c>
      <c r="BJ475" s="64"/>
      <c r="BK475" s="65"/>
      <c r="BL475" s="66">
        <v>161386.72999999998</v>
      </c>
    </row>
    <row r="476" spans="1:64" s="74" customFormat="1" x14ac:dyDescent="0.25">
      <c r="A476" s="141">
        <f t="shared" si="282"/>
        <v>458</v>
      </c>
      <c r="B476" s="142">
        <f t="shared" si="283"/>
        <v>270</v>
      </c>
      <c r="C476" s="62" t="s">
        <v>138</v>
      </c>
      <c r="D476" s="62" t="s">
        <v>986</v>
      </c>
      <c r="E476" s="123" t="s">
        <v>139</v>
      </c>
      <c r="F476" s="123" t="s">
        <v>139</v>
      </c>
      <c r="G476" s="123" t="s">
        <v>43</v>
      </c>
      <c r="H476" s="123" t="s">
        <v>98</v>
      </c>
      <c r="I476" s="123" t="s">
        <v>98</v>
      </c>
      <c r="J476" s="64">
        <v>948.7</v>
      </c>
      <c r="K476" s="64">
        <v>864.8</v>
      </c>
      <c r="L476" s="64">
        <v>80.099999999999994</v>
      </c>
      <c r="M476" s="124">
        <v>31</v>
      </c>
      <c r="N476" s="63">
        <f>SUM(O476:T476)</f>
        <v>6815055.1868583523</v>
      </c>
      <c r="O476" s="64">
        <v>0</v>
      </c>
      <c r="P476" s="65"/>
      <c r="Q476" s="65">
        <v>0</v>
      </c>
      <c r="R476" s="65">
        <f>+AQ476+AR476</f>
        <v>424479.78</v>
      </c>
      <c r="S476" s="65">
        <v>2523079.6099999994</v>
      </c>
      <c r="T476" s="65">
        <f>+'Приложение №2'!E485-'Приложение №1'!P476-'Приложение №1'!R476-'Приложение №1'!S476</f>
        <v>3867495.7968583526</v>
      </c>
      <c r="U476" s="65">
        <f>N476/K476</f>
        <v>7880.4985971997603</v>
      </c>
      <c r="V476" s="65">
        <v>1438.2830200640001</v>
      </c>
      <c r="W476" s="126">
        <v>2023</v>
      </c>
      <c r="X476" s="74">
        <v>192543.82</v>
      </c>
      <c r="Y476" s="74">
        <f>+(K476*9.1+L476*18.19)*12</f>
        <v>111920.38799999998</v>
      </c>
      <c r="AA476" s="129">
        <f>+N476-'[5]Приложение № 2'!E684</f>
        <v>-7762482.9806082062</v>
      </c>
      <c r="AD476" s="129">
        <f>+N476-'[5]Приложение № 2'!E684</f>
        <v>-7762482.9806082062</v>
      </c>
      <c r="AP476" s="128">
        <f>+N476-'Приложение №2'!E485</f>
        <v>0</v>
      </c>
      <c r="AQ476" s="38">
        <v>314702.28000000003</v>
      </c>
      <c r="AR476" s="25">
        <f>+(K476*10.5+L476*21)*12*0.85</f>
        <v>109777.5</v>
      </c>
      <c r="AS476" s="25">
        <f>+(K476*10.5+L476*21)*12*30-1088917.12</f>
        <v>2785582.88</v>
      </c>
      <c r="AT476" s="127">
        <f>+S476-AS476</f>
        <v>-262503.27000000048</v>
      </c>
      <c r="AU476" s="127">
        <f>+P476-'[6]Приложение №1'!$P718</f>
        <v>-3867495.7968583526</v>
      </c>
      <c r="AV476" s="127">
        <f>+Q476-'[6]Приложение №1'!$Q718</f>
        <v>0</v>
      </c>
      <c r="AW476" s="88">
        <f>SUBTOTAL(9,AX476:BL476)</f>
        <v>6815055.1868583523</v>
      </c>
      <c r="AX476" s="64"/>
      <c r="AY476" s="64"/>
      <c r="AZ476" s="64"/>
      <c r="BA476" s="64"/>
      <c r="BB476" s="64"/>
      <c r="BC476" s="64"/>
      <c r="BD476" s="64"/>
      <c r="BE476" s="64"/>
      <c r="BF476" s="64"/>
      <c r="BG476" s="64"/>
      <c r="BH476" s="64"/>
      <c r="BI476" s="64">
        <v>6540166.4526155833</v>
      </c>
      <c r="BJ476" s="64">
        <v>90475.4</v>
      </c>
      <c r="BK476" s="65">
        <v>41393.14</v>
      </c>
      <c r="BL476" s="66">
        <v>143020.19424276875</v>
      </c>
    </row>
    <row r="477" spans="1:64" s="87" customFormat="1" x14ac:dyDescent="0.25">
      <c r="D477" s="52">
        <v>2024</v>
      </c>
      <c r="E477" s="133"/>
      <c r="F477" s="133"/>
      <c r="G477" s="133"/>
      <c r="H477" s="133"/>
      <c r="I477" s="133"/>
      <c r="J477" s="85">
        <f>SUM(J478:J795)</f>
        <v>1184527.7300000007</v>
      </c>
      <c r="K477" s="85">
        <f>SUM(K478:K795)</f>
        <v>981743.48999999987</v>
      </c>
      <c r="L477" s="85">
        <f>SUM(L478:L795)</f>
        <v>49493.8</v>
      </c>
      <c r="M477" s="85">
        <f>SUM(M478:M795)</f>
        <v>40723</v>
      </c>
      <c r="N477" s="85">
        <f t="shared" ref="N477:N490" si="286">SUM(O477:T477)</f>
        <v>3821510050.6445532</v>
      </c>
      <c r="O477" s="85">
        <f t="shared" ref="O477:T477" si="287">SUM(O478:O795)</f>
        <v>0</v>
      </c>
      <c r="P477" s="85">
        <f t="shared" si="287"/>
        <v>444755619.99571407</v>
      </c>
      <c r="Q477" s="85">
        <f t="shared" si="287"/>
        <v>15234272.42</v>
      </c>
      <c r="R477" s="85">
        <f t="shared" si="287"/>
        <v>486906755.53948361</v>
      </c>
      <c r="S477" s="85">
        <f t="shared" si="287"/>
        <v>1569631553.6290712</v>
      </c>
      <c r="T477" s="85">
        <f t="shared" si="287"/>
        <v>1304981849.0602841</v>
      </c>
      <c r="U477" s="145"/>
      <c r="V477" s="145"/>
      <c r="W477" s="135"/>
      <c r="AP477" s="120">
        <f>+N477-'Приложение №2'!E486</f>
        <v>0</v>
      </c>
      <c r="AR477" s="140"/>
      <c r="AS477" s="140"/>
      <c r="AT477" s="136">
        <f t="shared" si="285"/>
        <v>1569631553.6290712</v>
      </c>
      <c r="AW477" s="99">
        <f>SUM(AX477:BL477)</f>
        <v>3814513177.7703061</v>
      </c>
      <c r="AX477" s="99">
        <f t="shared" ref="AX477:BL477" si="288">SUM(AX478:AX795)</f>
        <v>722711959.14310312</v>
      </c>
      <c r="AY477" s="99">
        <f t="shared" si="288"/>
        <v>201242419.8453286</v>
      </c>
      <c r="AZ477" s="99">
        <f t="shared" si="288"/>
        <v>289203239.29296339</v>
      </c>
      <c r="BA477" s="99">
        <f t="shared" si="288"/>
        <v>160890062.73749432</v>
      </c>
      <c r="BB477" s="99">
        <f t="shared" si="288"/>
        <v>66573977.259073533</v>
      </c>
      <c r="BC477" s="99">
        <f t="shared" si="288"/>
        <v>0</v>
      </c>
      <c r="BD477" s="99">
        <f t="shared" si="288"/>
        <v>26616285.965695474</v>
      </c>
      <c r="BE477" s="99">
        <f t="shared" si="288"/>
        <v>265919161.26963282</v>
      </c>
      <c r="BF477" s="99">
        <f t="shared" si="288"/>
        <v>529269743.33791751</v>
      </c>
      <c r="BG477" s="99">
        <f t="shared" si="288"/>
        <v>140937273.51284248</v>
      </c>
      <c r="BH477" s="99">
        <f t="shared" si="288"/>
        <v>981840346.16783583</v>
      </c>
      <c r="BI477" s="99">
        <f t="shared" si="288"/>
        <v>239471212.81207776</v>
      </c>
      <c r="BJ477" s="99">
        <f t="shared" si="288"/>
        <v>72230078.690465346</v>
      </c>
      <c r="BK477" s="99">
        <f t="shared" si="288"/>
        <v>9720984.0959759876</v>
      </c>
      <c r="BL477" s="99">
        <f t="shared" si="288"/>
        <v>107886433.63990027</v>
      </c>
    </row>
    <row r="478" spans="1:64" s="74" customFormat="1" x14ac:dyDescent="0.25">
      <c r="A478" s="141">
        <f>+A476+1</f>
        <v>459</v>
      </c>
      <c r="B478" s="61">
        <f t="shared" ref="B478" si="289">+B477+1</f>
        <v>1</v>
      </c>
      <c r="C478" s="62" t="s">
        <v>49</v>
      </c>
      <c r="D478" s="62" t="s">
        <v>673</v>
      </c>
      <c r="E478" s="123" t="s">
        <v>126</v>
      </c>
      <c r="F478" s="123"/>
      <c r="G478" s="123" t="s">
        <v>43</v>
      </c>
      <c r="H478" s="123" t="s">
        <v>97</v>
      </c>
      <c r="I478" s="123" t="s">
        <v>101</v>
      </c>
      <c r="J478" s="64">
        <v>11221.5</v>
      </c>
      <c r="K478" s="64">
        <v>7503.7</v>
      </c>
      <c r="L478" s="64">
        <v>56.5</v>
      </c>
      <c r="M478" s="124">
        <v>285</v>
      </c>
      <c r="N478" s="63">
        <f t="shared" si="286"/>
        <v>12813150</v>
      </c>
      <c r="O478" s="64">
        <v>0</v>
      </c>
      <c r="P478" s="65"/>
      <c r="Q478" s="65">
        <v>0</v>
      </c>
      <c r="R478" s="65">
        <f>+AQ478+AR478</f>
        <v>6417623.3880000003</v>
      </c>
      <c r="S478" s="65">
        <f>+'Приложение №2'!E487-'Приложение №1'!R478</f>
        <v>6395526.6119999997</v>
      </c>
      <c r="T478" s="65">
        <v>0</v>
      </c>
      <c r="U478" s="65">
        <f t="shared" ref="U478:U490" si="290">N478/K478</f>
        <v>1707.5775950531072</v>
      </c>
      <c r="V478" s="65">
        <v>1172.2830200640003</v>
      </c>
      <c r="W478" s="126">
        <v>2024</v>
      </c>
      <c r="X478" s="74">
        <v>3494459.14</v>
      </c>
      <c r="Y478" s="74">
        <f>+(K478*12.08+L478*20.47)*12</f>
        <v>1101615.0119999999</v>
      </c>
      <c r="AA478" s="129">
        <f>+N478-'[5]Приложение № 2'!E422</f>
        <v>-6066732.6000000015</v>
      </c>
      <c r="AD478" s="129">
        <f>+N478-'[5]Приложение № 2'!E422</f>
        <v>-6066732.6000000015</v>
      </c>
      <c r="AP478" s="128">
        <f>+N478-'Приложение №2'!E487</f>
        <v>0</v>
      </c>
      <c r="AQ478" s="74">
        <v>5336292.42</v>
      </c>
      <c r="AR478" s="25">
        <f>+(K478*13.95+L478*23.65)*12*0.85</f>
        <v>1081330.9680000001</v>
      </c>
      <c r="AS478" s="25">
        <f>+(K478*13.95+L478*23.65)*12*30</f>
        <v>38164622.400000006</v>
      </c>
      <c r="AT478" s="127">
        <f t="shared" si="285"/>
        <v>-31769095.788000006</v>
      </c>
      <c r="AU478" s="127">
        <f>+P478-'[6]Приложение №1'!$P459</f>
        <v>0</v>
      </c>
      <c r="AV478" s="127">
        <f>+Q478-'[6]Приложение №1'!$Q459</f>
        <v>0</v>
      </c>
      <c r="AW478" s="88">
        <f t="shared" ref="AW478:AW556" si="291">SUBTOTAL(9,AX478:BL478)</f>
        <v>12813150</v>
      </c>
      <c r="AX478" s="103">
        <v>0</v>
      </c>
      <c r="AY478" s="103">
        <v>0</v>
      </c>
      <c r="AZ478" s="103">
        <v>0</v>
      </c>
      <c r="BA478" s="103">
        <v>0</v>
      </c>
      <c r="BB478" s="103"/>
      <c r="BC478" s="103">
        <v>0</v>
      </c>
      <c r="BD478" s="103"/>
      <c r="BE478" s="103">
        <v>12037390.646400001</v>
      </c>
      <c r="BF478" s="103">
        <v>0</v>
      </c>
      <c r="BG478" s="103">
        <v>0</v>
      </c>
      <c r="BH478" s="103">
        <v>0</v>
      </c>
      <c r="BI478" s="103">
        <v>0</v>
      </c>
      <c r="BJ478" s="103">
        <v>384394.5</v>
      </c>
      <c r="BK478" s="104">
        <v>128131.5</v>
      </c>
      <c r="BL478" s="105">
        <v>263233.35360000003</v>
      </c>
    </row>
    <row r="479" spans="1:64" s="106" customFormat="1" x14ac:dyDescent="0.25">
      <c r="A479" s="141">
        <f>+A478+1</f>
        <v>460</v>
      </c>
      <c r="B479" s="142">
        <f>+B478+1</f>
        <v>2</v>
      </c>
      <c r="C479" s="62" t="s">
        <v>49</v>
      </c>
      <c r="D479" s="62" t="s">
        <v>674</v>
      </c>
      <c r="E479" s="123">
        <v>1991</v>
      </c>
      <c r="F479" s="123">
        <v>2015</v>
      </c>
      <c r="G479" s="123" t="s">
        <v>43</v>
      </c>
      <c r="H479" s="123">
        <v>5</v>
      </c>
      <c r="I479" s="123">
        <v>5</v>
      </c>
      <c r="J479" s="64">
        <v>11474.2</v>
      </c>
      <c r="K479" s="64">
        <v>7084.2</v>
      </c>
      <c r="L479" s="64">
        <v>82.6</v>
      </c>
      <c r="M479" s="124">
        <v>178</v>
      </c>
      <c r="N479" s="63">
        <f t="shared" si="286"/>
        <v>14720955.054879867</v>
      </c>
      <c r="O479" s="64"/>
      <c r="P479" s="65"/>
      <c r="Q479" s="65"/>
      <c r="R479" s="65">
        <f t="shared" ref="R479:R488" si="292">+AQ479+AR479</f>
        <v>5132775.3600000003</v>
      </c>
      <c r="S479" s="65">
        <f>+'Приложение №2'!E488-'Приложение №1'!R479</f>
        <v>9588179.6948798671</v>
      </c>
      <c r="T479" s="65">
        <v>0</v>
      </c>
      <c r="U479" s="65">
        <f t="shared" si="290"/>
        <v>2077.9982291408865</v>
      </c>
      <c r="V479" s="65">
        <v>1176.2830200640001</v>
      </c>
      <c r="W479" s="126">
        <v>2024</v>
      </c>
      <c r="X479" s="127" t="e">
        <f>+#REF!-'[1]Приложение №1'!$P360</f>
        <v>#REF!</v>
      </c>
      <c r="Z479" s="63">
        <f>SUM(AA479:AO479)</f>
        <v>12331740.678400001</v>
      </c>
      <c r="AA479" s="64">
        <v>0</v>
      </c>
      <c r="AB479" s="64">
        <v>0</v>
      </c>
      <c r="AC479" s="64">
        <v>0</v>
      </c>
      <c r="AD479" s="64">
        <v>0</v>
      </c>
      <c r="AE479" s="64">
        <v>0</v>
      </c>
      <c r="AF479" s="64"/>
      <c r="AG479" s="64">
        <v>0</v>
      </c>
      <c r="AH479" s="64">
        <v>0</v>
      </c>
      <c r="AI479" s="64">
        <v>0</v>
      </c>
      <c r="AJ479" s="64">
        <v>10740378.870815193</v>
      </c>
      <c r="AK479" s="64">
        <v>0</v>
      </c>
      <c r="AL479" s="64">
        <v>0</v>
      </c>
      <c r="AM479" s="64">
        <v>1233174.0678400001</v>
      </c>
      <c r="AN479" s="65">
        <v>123317.40678400001</v>
      </c>
      <c r="AO479" s="66">
        <v>234870.33296080641</v>
      </c>
      <c r="AP479" s="128">
        <f>+N479-'Приложение №2'!E488</f>
        <v>0</v>
      </c>
      <c r="AQ479" s="106">
        <v>4356364.62</v>
      </c>
      <c r="AR479" s="25">
        <f>+(K479*10.5+L479*21)*12*0.85</f>
        <v>776410.73999999987</v>
      </c>
      <c r="AS479" s="25">
        <f>+(K479*10.5+L479*21)*12*30</f>
        <v>27402731.999999996</v>
      </c>
      <c r="AT479" s="127">
        <f t="shared" si="285"/>
        <v>-17814552.305120129</v>
      </c>
      <c r="AU479" s="127">
        <f>+P479-'[6]Приложение №1'!$P463</f>
        <v>0</v>
      </c>
      <c r="AV479" s="127">
        <f>+Q479-'[6]Приложение №1'!$Q463</f>
        <v>0</v>
      </c>
      <c r="AW479" s="88">
        <f t="shared" si="291"/>
        <v>14720955.054879867</v>
      </c>
      <c r="AX479" s="64">
        <v>0</v>
      </c>
      <c r="AY479" s="64">
        <v>0</v>
      </c>
      <c r="AZ479" s="64">
        <v>0</v>
      </c>
      <c r="BA479" s="64">
        <v>0</v>
      </c>
      <c r="BB479" s="64">
        <v>0</v>
      </c>
      <c r="BC479" s="64"/>
      <c r="BD479" s="64"/>
      <c r="BE479" s="64">
        <v>0</v>
      </c>
      <c r="BF479" s="64">
        <v>0</v>
      </c>
      <c r="BG479" s="64">
        <v>14405926.616705438</v>
      </c>
      <c r="BH479" s="64">
        <v>0</v>
      </c>
      <c r="BI479" s="64">
        <v>0</v>
      </c>
      <c r="BJ479" s="64"/>
      <c r="BK479" s="65"/>
      <c r="BL479" s="66">
        <v>315028.43817442917</v>
      </c>
    </row>
    <row r="480" spans="1:64" s="106" customFormat="1" x14ac:dyDescent="0.25">
      <c r="A480" s="141">
        <f t="shared" ref="A480:A543" si="293">+A479+1</f>
        <v>461</v>
      </c>
      <c r="B480" s="142">
        <f t="shared" ref="B480:B543" si="294">+B479+1</f>
        <v>3</v>
      </c>
      <c r="C480" s="62" t="s">
        <v>49</v>
      </c>
      <c r="D480" s="62" t="s">
        <v>675</v>
      </c>
      <c r="E480" s="123">
        <v>1993</v>
      </c>
      <c r="F480" s="123">
        <v>2013</v>
      </c>
      <c r="G480" s="123" t="s">
        <v>43</v>
      </c>
      <c r="H480" s="123">
        <v>9</v>
      </c>
      <c r="I480" s="123">
        <v>5</v>
      </c>
      <c r="J480" s="64">
        <v>19441.7</v>
      </c>
      <c r="K480" s="64">
        <v>13182.1</v>
      </c>
      <c r="L480" s="64">
        <v>0</v>
      </c>
      <c r="M480" s="124">
        <v>478</v>
      </c>
      <c r="N480" s="63">
        <f t="shared" si="286"/>
        <v>38034141.436050743</v>
      </c>
      <c r="O480" s="64"/>
      <c r="P480" s="65"/>
      <c r="Q480" s="65"/>
      <c r="R480" s="65">
        <f t="shared" si="292"/>
        <v>5380304.0662000012</v>
      </c>
      <c r="S480" s="65">
        <f>+'Приложение №2'!E489-'Приложение №1'!R480</f>
        <v>32653837.36985074</v>
      </c>
      <c r="T480" s="65">
        <v>0</v>
      </c>
      <c r="U480" s="65">
        <f t="shared" si="290"/>
        <v>2885.2869752202414</v>
      </c>
      <c r="V480" s="65">
        <v>1177.2830200640001</v>
      </c>
      <c r="W480" s="126">
        <v>2024</v>
      </c>
      <c r="X480" s="127" t="e">
        <f>+#REF!-'[1]Приложение №1'!$P361</f>
        <v>#REF!</v>
      </c>
      <c r="Z480" s="63">
        <f>SUM(AA480:AO480)</f>
        <v>35897392.059609599</v>
      </c>
      <c r="AA480" s="64">
        <v>0</v>
      </c>
      <c r="AB480" s="64">
        <v>0</v>
      </c>
      <c r="AC480" s="64">
        <v>9324692.0449531022</v>
      </c>
      <c r="AD480" s="64">
        <v>0</v>
      </c>
      <c r="AE480" s="64">
        <v>0</v>
      </c>
      <c r="AF480" s="64"/>
      <c r="AG480" s="64">
        <v>0</v>
      </c>
      <c r="AH480" s="64">
        <v>0</v>
      </c>
      <c r="AI480" s="64">
        <v>0</v>
      </c>
      <c r="AJ480" s="64">
        <v>21940285.15893212</v>
      </c>
      <c r="AK480" s="64">
        <v>0</v>
      </c>
      <c r="AL480" s="64">
        <v>0</v>
      </c>
      <c r="AM480" s="64">
        <v>3589739.2059609606</v>
      </c>
      <c r="AN480" s="65">
        <v>358973.92059609608</v>
      </c>
      <c r="AO480" s="66">
        <v>683701.72916732461</v>
      </c>
      <c r="AP480" s="128">
        <f>+N480-'Приложение №2'!E489</f>
        <v>0</v>
      </c>
      <c r="AQ480" s="106">
        <f>10027782.74-4892369.7628-1630789.92</f>
        <v>3504623.0572000006</v>
      </c>
      <c r="AR480" s="25">
        <f>+(K480*13.95+L480*23.65)*12*0.85</f>
        <v>1875681.0090000001</v>
      </c>
      <c r="AS480" s="25">
        <f>+(K480*13.95+L480*23.65)*12*30-2885417.2772-5487600.1</f>
        <v>57827488.822800003</v>
      </c>
      <c r="AT480" s="127">
        <f t="shared" si="285"/>
        <v>-25173651.452949263</v>
      </c>
      <c r="AU480" s="127">
        <f>+P480-'[6]Приложение №1'!$P464</f>
        <v>0</v>
      </c>
      <c r="AV480" s="127">
        <f>+Q480-'[6]Приложение №1'!$Q464</f>
        <v>0</v>
      </c>
      <c r="AW480" s="88">
        <f t="shared" si="291"/>
        <v>38034141.436050743</v>
      </c>
      <c r="AX480" s="64">
        <v>0</v>
      </c>
      <c r="AY480" s="64">
        <v>0</v>
      </c>
      <c r="AZ480" s="64">
        <v>11100823.818992184</v>
      </c>
      <c r="BA480" s="64">
        <v>0</v>
      </c>
      <c r="BB480" s="64">
        <v>0</v>
      </c>
      <c r="BC480" s="64"/>
      <c r="BD480" s="64">
        <v>0</v>
      </c>
      <c r="BE480" s="64">
        <v>0</v>
      </c>
      <c r="BF480" s="64">
        <v>0</v>
      </c>
      <c r="BG480" s="64">
        <v>26119386.990327071</v>
      </c>
      <c r="BH480" s="64">
        <v>0</v>
      </c>
      <c r="BI480" s="64">
        <v>0</v>
      </c>
      <c r="BJ480" s="64"/>
      <c r="BK480" s="65"/>
      <c r="BL480" s="66">
        <v>813930.62673148618</v>
      </c>
    </row>
    <row r="481" spans="1:64" x14ac:dyDescent="0.25">
      <c r="A481" s="141">
        <f t="shared" si="293"/>
        <v>462</v>
      </c>
      <c r="B481" s="142">
        <f t="shared" si="294"/>
        <v>4</v>
      </c>
      <c r="C481" s="62" t="s">
        <v>49</v>
      </c>
      <c r="D481" s="62" t="s">
        <v>672</v>
      </c>
      <c r="E481" s="123">
        <v>1997</v>
      </c>
      <c r="F481" s="123">
        <v>2013</v>
      </c>
      <c r="G481" s="123" t="s">
        <v>43</v>
      </c>
      <c r="H481" s="123">
        <v>3</v>
      </c>
      <c r="I481" s="123">
        <v>3</v>
      </c>
      <c r="J481" s="64">
        <v>2554.6999999999998</v>
      </c>
      <c r="K481" s="64">
        <v>1158.4000000000001</v>
      </c>
      <c r="L481" s="64">
        <v>157.9</v>
      </c>
      <c r="M481" s="124">
        <v>40</v>
      </c>
      <c r="N481" s="95">
        <f t="shared" ref="N481" si="295">+P481+Q481+R481+S481+T481</f>
        <v>9929571.9799999986</v>
      </c>
      <c r="O481" s="64"/>
      <c r="P481" s="64">
        <v>7389025.9417176796</v>
      </c>
      <c r="Q481" s="64"/>
      <c r="R481" s="64">
        <f>+AR481</f>
        <v>150368.4</v>
      </c>
      <c r="S481" s="64">
        <f>+AS481</f>
        <v>0</v>
      </c>
      <c r="T481" s="64">
        <f>+'Приложение №2'!E490-'Приложение №1'!P481-'Приложение №1'!Q481-'Приложение №1'!R481-'Приложение №1'!S481</f>
        <v>2390177.6382823191</v>
      </c>
      <c r="U481" s="64">
        <f t="shared" ref="U481:V481" si="296">$N481/($K481+$L481)</f>
        <v>7543.5478082503969</v>
      </c>
      <c r="V481" s="64">
        <f t="shared" si="296"/>
        <v>7543.5478082503969</v>
      </c>
      <c r="W481" s="126">
        <v>2024</v>
      </c>
      <c r="X481" s="127" t="e">
        <f>+#REF!-'[1]Приложение №1'!$P1840</f>
        <v>#REF!</v>
      </c>
      <c r="Z481" s="95">
        <f>SUM(AA481:AO481)</f>
        <v>50522516.669999994</v>
      </c>
      <c r="AA481" s="64">
        <v>5373102.4124122793</v>
      </c>
      <c r="AB481" s="64">
        <v>2799379.0984185603</v>
      </c>
      <c r="AC481" s="64">
        <v>1158345.46972326</v>
      </c>
      <c r="AD481" s="64">
        <v>601928.63075688004</v>
      </c>
      <c r="AE481" s="64">
        <v>0</v>
      </c>
      <c r="AF481" s="64"/>
      <c r="AG481" s="64">
        <v>439165.68767148</v>
      </c>
      <c r="AH481" s="64">
        <v>0</v>
      </c>
      <c r="AI481" s="64">
        <v>12048310.589364</v>
      </c>
      <c r="AJ481" s="64">
        <v>4856893.85457318</v>
      </c>
      <c r="AK481" s="64">
        <v>13999412.94979164</v>
      </c>
      <c r="AL481" s="64">
        <v>2997543.6040317602</v>
      </c>
      <c r="AM481" s="64">
        <v>4775024.6969000008</v>
      </c>
      <c r="AN481" s="64">
        <v>505225.1667</v>
      </c>
      <c r="AO481" s="96">
        <v>968184.50965696003</v>
      </c>
      <c r="AP481" s="128">
        <f>+N481-'Приложение №2'!E490</f>
        <v>0</v>
      </c>
      <c r="AQ481" s="127">
        <f>739157.71-R209</f>
        <v>-798294.27</v>
      </c>
      <c r="AR481" s="25">
        <f t="shared" ref="AR481" si="297">+(K481*10+L481*20)*12*0.85</f>
        <v>150368.4</v>
      </c>
      <c r="AS481" s="25">
        <f>+(K481*10+L481*20)*12*30-S209</f>
        <v>0</v>
      </c>
      <c r="AT481" s="127">
        <f t="shared" si="285"/>
        <v>0</v>
      </c>
      <c r="AU481" s="127">
        <f>+P481-'[6]Приложение №1'!$P580</f>
        <v>7389025.9417176796</v>
      </c>
      <c r="AV481" s="127">
        <f>+Q481-'[6]Приложение №1'!$Q580</f>
        <v>0</v>
      </c>
      <c r="AW481" s="63">
        <f t="shared" si="291"/>
        <v>9929571.9799999986</v>
      </c>
      <c r="AX481" s="64">
        <v>2320624.2799999998</v>
      </c>
      <c r="AY481" s="64">
        <v>1208886.8700000001</v>
      </c>
      <c r="AZ481" s="64"/>
      <c r="BA481" s="64">
        <v>480187.06</v>
      </c>
      <c r="BB481" s="64">
        <v>0</v>
      </c>
      <c r="BC481" s="64"/>
      <c r="BD481" s="64"/>
      <c r="BE481" s="64">
        <v>0</v>
      </c>
      <c r="BF481" s="64"/>
      <c r="BG481" s="64">
        <v>4924704.8499999996</v>
      </c>
      <c r="BH481" s="64"/>
      <c r="BI481" s="64"/>
      <c r="BJ481" s="64"/>
      <c r="BK481" s="65"/>
      <c r="BL481" s="65">
        <v>995168.92</v>
      </c>
    </row>
    <row r="482" spans="1:64" s="74" customFormat="1" x14ac:dyDescent="0.25">
      <c r="A482" s="141">
        <f t="shared" si="293"/>
        <v>463</v>
      </c>
      <c r="B482" s="142">
        <f t="shared" si="294"/>
        <v>5</v>
      </c>
      <c r="C482" s="62" t="s">
        <v>49</v>
      </c>
      <c r="D482" s="62" t="s">
        <v>676</v>
      </c>
      <c r="E482" s="123" t="s">
        <v>127</v>
      </c>
      <c r="F482" s="123"/>
      <c r="G482" s="123" t="s">
        <v>43</v>
      </c>
      <c r="H482" s="123" t="s">
        <v>105</v>
      </c>
      <c r="I482" s="123" t="s">
        <v>105</v>
      </c>
      <c r="J482" s="64">
        <v>4119.1000000000004</v>
      </c>
      <c r="K482" s="64">
        <v>2443.1</v>
      </c>
      <c r="L482" s="64">
        <v>0</v>
      </c>
      <c r="M482" s="124">
        <v>95</v>
      </c>
      <c r="N482" s="63">
        <f t="shared" si="286"/>
        <v>26448688.793807574</v>
      </c>
      <c r="O482" s="64">
        <v>0</v>
      </c>
      <c r="P482" s="65">
        <v>3678482.7385679903</v>
      </c>
      <c r="Q482" s="65">
        <v>2709187.4733333332</v>
      </c>
      <c r="R482" s="65">
        <f t="shared" si="292"/>
        <v>1605165.91</v>
      </c>
      <c r="S482" s="65">
        <f t="shared" ref="S482:S488" si="298">+AS482</f>
        <v>9234918</v>
      </c>
      <c r="T482" s="65">
        <f>+'Приложение №2'!E491-'Приложение №1'!P482-'Приложение №1'!R482-'Приложение №1'!S482-Q482</f>
        <v>9220934.6719062477</v>
      </c>
      <c r="U482" s="65">
        <f t="shared" si="290"/>
        <v>10825.87237272628</v>
      </c>
      <c r="V482" s="65">
        <v>1178.2830200640001</v>
      </c>
      <c r="W482" s="126">
        <v>2024</v>
      </c>
      <c r="X482" s="74">
        <v>889128.05</v>
      </c>
      <c r="Y482" s="74">
        <f>+(K482*9.1+L482*18.19)*12</f>
        <v>266786.52</v>
      </c>
      <c r="AA482" s="129">
        <f>+N482-'[5]Приложение № 2'!E427</f>
        <v>494148.6680059731</v>
      </c>
      <c r="AD482" s="129">
        <f>+N482-'[5]Приложение № 2'!E427</f>
        <v>494148.6680059731</v>
      </c>
      <c r="AP482" s="128">
        <f>+N482-'Приложение №2'!E491</f>
        <v>0</v>
      </c>
      <c r="AQ482" s="74">
        <v>1343509.9</v>
      </c>
      <c r="AR482" s="25">
        <f t="shared" ref="AR482:AR490" si="299">+(K482*10.5+L482*21)*12*0.85</f>
        <v>261656.00999999998</v>
      </c>
      <c r="AS482" s="25">
        <f>+(K482*10.5+L482*21)*12*30</f>
        <v>9234918</v>
      </c>
      <c r="AT482" s="127">
        <f t="shared" si="285"/>
        <v>0</v>
      </c>
      <c r="AU482" s="127">
        <f>+P482-'[6]Приложение №1'!$P465</f>
        <v>0</v>
      </c>
      <c r="AV482" s="127">
        <f>+Q482-'[6]Приложение №1'!$Q465</f>
        <v>2709187.4733333332</v>
      </c>
      <c r="AW482" s="88">
        <f t="shared" si="291"/>
        <v>26448688.79380757</v>
      </c>
      <c r="AX482" s="64">
        <v>7353309.2599999998</v>
      </c>
      <c r="AY482" s="64">
        <v>0</v>
      </c>
      <c r="AZ482" s="64">
        <v>1849726.7764977436</v>
      </c>
      <c r="BA482" s="64">
        <v>1953691.0272434026</v>
      </c>
      <c r="BB482" s="64">
        <v>0</v>
      </c>
      <c r="BC482" s="64"/>
      <c r="BD482" s="64">
        <v>200996.47018181099</v>
      </c>
      <c r="BE482" s="64">
        <v>0</v>
      </c>
      <c r="BF482" s="64"/>
      <c r="BG482" s="64"/>
      <c r="BH482" s="64">
        <v>12058761.405217756</v>
      </c>
      <c r="BI482" s="64">
        <v>0</v>
      </c>
      <c r="BJ482" s="64">
        <v>2335704.4224699792</v>
      </c>
      <c r="BK482" s="65">
        <v>239364.94158844746</v>
      </c>
      <c r="BL482" s="66">
        <v>457134.49060842721</v>
      </c>
    </row>
    <row r="483" spans="1:64" s="74" customFormat="1" x14ac:dyDescent="0.25">
      <c r="A483" s="141">
        <f t="shared" si="293"/>
        <v>464</v>
      </c>
      <c r="B483" s="142">
        <f t="shared" si="294"/>
        <v>6</v>
      </c>
      <c r="C483" s="62" t="s">
        <v>49</v>
      </c>
      <c r="D483" s="62" t="s">
        <v>677</v>
      </c>
      <c r="E483" s="123" t="s">
        <v>110</v>
      </c>
      <c r="F483" s="123"/>
      <c r="G483" s="123" t="s">
        <v>43</v>
      </c>
      <c r="H483" s="123" t="s">
        <v>105</v>
      </c>
      <c r="I483" s="123" t="s">
        <v>105</v>
      </c>
      <c r="J483" s="64">
        <v>4123.1000000000004</v>
      </c>
      <c r="K483" s="64">
        <v>2363</v>
      </c>
      <c r="L483" s="64">
        <v>91.8</v>
      </c>
      <c r="M483" s="124">
        <v>100</v>
      </c>
      <c r="N483" s="63">
        <f t="shared" si="286"/>
        <v>24243496.46028031</v>
      </c>
      <c r="O483" s="64">
        <v>0</v>
      </c>
      <c r="P483" s="65">
        <v>3283800.1961900308</v>
      </c>
      <c r="Q483" s="65">
        <v>2709187.4733333332</v>
      </c>
      <c r="R483" s="65">
        <f t="shared" si="292"/>
        <v>1689747.0499999998</v>
      </c>
      <c r="S483" s="65">
        <f t="shared" si="298"/>
        <v>9626148</v>
      </c>
      <c r="T483" s="65">
        <f>+'Приложение №2'!E492-'Приложение №1'!P483-'Приложение №1'!R483-'Приложение №1'!S483-Q483</f>
        <v>6934613.7407569475</v>
      </c>
      <c r="U483" s="65">
        <f t="shared" si="290"/>
        <v>10259.626094066996</v>
      </c>
      <c r="V483" s="65">
        <v>1179.2830200640001</v>
      </c>
      <c r="W483" s="126">
        <v>2024</v>
      </c>
      <c r="X483" s="74">
        <v>889790.81</v>
      </c>
      <c r="Y483" s="74">
        <f>+(K483*9.1+L483*18.19)*12</f>
        <v>278077.70400000003</v>
      </c>
      <c r="AA483" s="129">
        <f>+N483-'[5]Приложение № 2'!E428</f>
        <v>-1711043.6655212902</v>
      </c>
      <c r="AD483" s="129">
        <f>+N483-'[5]Приложение № 2'!E428</f>
        <v>-1711043.6655212902</v>
      </c>
      <c r="AP483" s="128">
        <f>+N483-'Приложение №2'!E492</f>
        <v>0</v>
      </c>
      <c r="AQ483" s="38">
        <v>1417006.19</v>
      </c>
      <c r="AR483" s="25">
        <f t="shared" si="299"/>
        <v>272740.86</v>
      </c>
      <c r="AS483" s="25">
        <f>+(K483*10.5+L483*21)*12*30</f>
        <v>9626148</v>
      </c>
      <c r="AT483" s="127">
        <f t="shared" si="285"/>
        <v>0</v>
      </c>
      <c r="AU483" s="127">
        <f>+P483-'[6]Приложение №1'!$P466</f>
        <v>0</v>
      </c>
      <c r="AV483" s="127">
        <f>+Q483-'[6]Приложение №1'!$Q466</f>
        <v>2709187.4733333332</v>
      </c>
      <c r="AW483" s="88">
        <f t="shared" si="291"/>
        <v>24243496.46028031</v>
      </c>
      <c r="AX483" s="64">
        <v>5056669.2</v>
      </c>
      <c r="AY483" s="64">
        <v>0</v>
      </c>
      <c r="AZ483" s="64">
        <v>1858585.1135633669</v>
      </c>
      <c r="BA483" s="64">
        <v>1963047.2488547764</v>
      </c>
      <c r="BB483" s="64">
        <v>0</v>
      </c>
      <c r="BC483" s="64"/>
      <c r="BD483" s="64">
        <v>201959.04179211229</v>
      </c>
      <c r="BE483" s="64">
        <v>0</v>
      </c>
      <c r="BF483" s="64"/>
      <c r="BG483" s="64"/>
      <c r="BH483" s="64">
        <v>12116510.784465864</v>
      </c>
      <c r="BI483" s="64">
        <v>0</v>
      </c>
      <c r="BJ483" s="64">
        <v>2346890.1053085448</v>
      </c>
      <c r="BK483" s="65">
        <v>240511.25971565672</v>
      </c>
      <c r="BL483" s="66">
        <v>459323.70657998748</v>
      </c>
    </row>
    <row r="484" spans="1:64" s="74" customFormat="1" x14ac:dyDescent="0.25">
      <c r="A484" s="141">
        <f t="shared" si="293"/>
        <v>465</v>
      </c>
      <c r="B484" s="142">
        <f t="shared" si="294"/>
        <v>7</v>
      </c>
      <c r="C484" s="62" t="s">
        <v>49</v>
      </c>
      <c r="D484" s="62" t="s">
        <v>970</v>
      </c>
      <c r="E484" s="123" t="s">
        <v>519</v>
      </c>
      <c r="F484" s="123"/>
      <c r="G484" s="123" t="s">
        <v>43</v>
      </c>
      <c r="H484" s="123" t="s">
        <v>105</v>
      </c>
      <c r="I484" s="123" t="s">
        <v>105</v>
      </c>
      <c r="J484" s="64">
        <v>4170.5</v>
      </c>
      <c r="K484" s="64">
        <v>2454.1</v>
      </c>
      <c r="L484" s="64">
        <v>0</v>
      </c>
      <c r="M484" s="124">
        <v>90</v>
      </c>
      <c r="N484" s="63">
        <f t="shared" si="286"/>
        <v>13907801.897000002</v>
      </c>
      <c r="O484" s="64"/>
      <c r="P484" s="65"/>
      <c r="Q484" s="65">
        <v>2709187.4733333332</v>
      </c>
      <c r="R484" s="65">
        <f t="shared" ref="R484" si="300">+AQ484+AR484</f>
        <v>1637608.13</v>
      </c>
      <c r="S484" s="65">
        <f t="shared" si="298"/>
        <v>9276498</v>
      </c>
      <c r="T484" s="65">
        <f>+'Приложение №2'!E493-'Приложение №1'!P484-'Приложение №1'!R484-'Приложение №1'!S484-Q484</f>
        <v>284508.29366666777</v>
      </c>
      <c r="U484" s="65">
        <f t="shared" ref="U484:U487" si="301">N484/K484</f>
        <v>5667.170000000001</v>
      </c>
      <c r="V484" s="65">
        <v>1180.2830200640001</v>
      </c>
      <c r="W484" s="126">
        <v>2024</v>
      </c>
      <c r="AA484" s="129"/>
      <c r="AD484" s="129"/>
      <c r="AP484" s="128">
        <f>+N484-'Приложение №2'!E493</f>
        <v>0</v>
      </c>
      <c r="AQ484" s="40">
        <v>1374774.02</v>
      </c>
      <c r="AR484" s="25">
        <f t="shared" si="299"/>
        <v>262834.11</v>
      </c>
      <c r="AS484" s="25">
        <f>+(K484*10.5+L484*21)*12*30</f>
        <v>9276498</v>
      </c>
      <c r="AT484" s="127"/>
      <c r="AU484" s="127"/>
      <c r="AV484" s="127"/>
      <c r="AW484" s="88">
        <f t="shared" si="291"/>
        <v>13907801.897</v>
      </c>
      <c r="AX484" s="64"/>
      <c r="AY484" s="64"/>
      <c r="AZ484" s="64"/>
      <c r="BA484" s="64"/>
      <c r="BB484" s="64"/>
      <c r="BC484" s="64"/>
      <c r="BD484" s="64"/>
      <c r="BE484" s="64"/>
      <c r="BF484" s="64"/>
      <c r="BG484" s="64"/>
      <c r="BH484" s="64">
        <v>12113055.693399739</v>
      </c>
      <c r="BI484" s="64">
        <v>0</v>
      </c>
      <c r="BJ484" s="64">
        <v>1390780.1897</v>
      </c>
      <c r="BK484" s="65">
        <v>139078.01897</v>
      </c>
      <c r="BL484" s="66">
        <v>264887.99493026198</v>
      </c>
    </row>
    <row r="485" spans="1:64" s="74" customFormat="1" x14ac:dyDescent="0.25">
      <c r="A485" s="141">
        <f t="shared" si="293"/>
        <v>466</v>
      </c>
      <c r="B485" s="142">
        <f t="shared" si="294"/>
        <v>8</v>
      </c>
      <c r="C485" s="62" t="s">
        <v>50</v>
      </c>
      <c r="D485" s="62" t="s">
        <v>618</v>
      </c>
      <c r="E485" s="123" t="s">
        <v>110</v>
      </c>
      <c r="F485" s="123"/>
      <c r="G485" s="123" t="s">
        <v>43</v>
      </c>
      <c r="H485" s="123" t="s">
        <v>108</v>
      </c>
      <c r="I485" s="123" t="s">
        <v>105</v>
      </c>
      <c r="J485" s="64">
        <v>3725.6</v>
      </c>
      <c r="K485" s="64">
        <v>3166.8</v>
      </c>
      <c r="L485" s="64">
        <v>0</v>
      </c>
      <c r="M485" s="124">
        <v>150</v>
      </c>
      <c r="N485" s="95">
        <f>+P485+Q485+R485+S485+T485</f>
        <v>19115933.398649458</v>
      </c>
      <c r="O485" s="64">
        <v>0</v>
      </c>
      <c r="P485" s="65"/>
      <c r="Q485" s="65">
        <v>0</v>
      </c>
      <c r="R485" s="65">
        <f>+AQ485+AR485</f>
        <v>1967279.13</v>
      </c>
      <c r="S485" s="64">
        <f>+AS485</f>
        <v>11400480</v>
      </c>
      <c r="T485" s="64">
        <f>+'Приложение №2'!E494-'Приложение №1'!P485-'Приложение №1'!Q485-'Приложение №1'!R485-'Приложение №1'!S485</f>
        <v>5748174.2686494589</v>
      </c>
      <c r="U485" s="65">
        <f t="shared" si="301"/>
        <v>6036.3563845678464</v>
      </c>
      <c r="V485" s="65">
        <v>1181.2830200640001</v>
      </c>
      <c r="W485" s="126">
        <v>2024</v>
      </c>
      <c r="X485" s="74">
        <v>1326436.8899999999</v>
      </c>
      <c r="Y485" s="74">
        <f>+(K485*9.1+L485*18.19)*12</f>
        <v>345814.56</v>
      </c>
      <c r="AA485" s="129">
        <f>+N485-'[5]Приложение № 2'!E200</f>
        <v>-5328256.7309351824</v>
      </c>
      <c r="AD485" s="129">
        <f>+N485-'[5]Приложение № 2'!E200</f>
        <v>-5328256.7309351824</v>
      </c>
      <c r="AP485" s="128">
        <f>+N485-'Приложение №2'!E494</f>
        <v>0</v>
      </c>
      <c r="AQ485" s="74">
        <v>1644265.53</v>
      </c>
      <c r="AR485" s="25">
        <f>+(K485*10+L485*20)*12*0.85</f>
        <v>323013.59999999998</v>
      </c>
      <c r="AS485" s="25">
        <f>+(K485*10+L485*20)*12*30</f>
        <v>11400480</v>
      </c>
      <c r="AT485" s="127">
        <f>+S485-AS485</f>
        <v>0</v>
      </c>
      <c r="AU485" s="127">
        <f>+P485-'[6]Приложение №1'!$P210</f>
        <v>-5072123.3467405867</v>
      </c>
      <c r="AV485" s="127">
        <f>+Q485-'[6]Приложение №1'!$Q210</f>
        <v>0</v>
      </c>
      <c r="AW485" s="63">
        <f>SUBTOTAL(9,AX485:BL485)</f>
        <v>19115933.398649458</v>
      </c>
      <c r="AX485" s="64"/>
      <c r="AY485" s="64"/>
      <c r="AZ485" s="64"/>
      <c r="BA485" s="64"/>
      <c r="BB485" s="64"/>
      <c r="BC485" s="64"/>
      <c r="BD485" s="64"/>
      <c r="BE485" s="64"/>
      <c r="BF485" s="64"/>
      <c r="BG485" s="64"/>
      <c r="BH485" s="64">
        <v>18418596.889079686</v>
      </c>
      <c r="BI485" s="64"/>
      <c r="BJ485" s="64">
        <v>409917.87</v>
      </c>
      <c r="BK485" s="65"/>
      <c r="BL485" s="66">
        <v>287418.63956977235</v>
      </c>
    </row>
    <row r="486" spans="1:64" s="74" customFormat="1" x14ac:dyDescent="0.25">
      <c r="A486" s="141">
        <f t="shared" si="293"/>
        <v>467</v>
      </c>
      <c r="B486" s="142">
        <f t="shared" si="294"/>
        <v>9</v>
      </c>
      <c r="C486" s="62" t="s">
        <v>50</v>
      </c>
      <c r="D486" s="62" t="s">
        <v>615</v>
      </c>
      <c r="E486" s="123" t="s">
        <v>111</v>
      </c>
      <c r="F486" s="123"/>
      <c r="G486" s="123" t="s">
        <v>43</v>
      </c>
      <c r="H486" s="123" t="s">
        <v>108</v>
      </c>
      <c r="I486" s="123" t="s">
        <v>109</v>
      </c>
      <c r="J486" s="64">
        <v>5474.4</v>
      </c>
      <c r="K486" s="64">
        <v>4591</v>
      </c>
      <c r="L486" s="64">
        <v>74.8</v>
      </c>
      <c r="M486" s="124">
        <v>142</v>
      </c>
      <c r="N486" s="95">
        <f t="shared" ref="N486" si="302">+P486+Q486+R486+S486+T486</f>
        <v>24518933.292658038</v>
      </c>
      <c r="O486" s="64">
        <v>0</v>
      </c>
      <c r="P486" s="65">
        <v>5182536.9001926761</v>
      </c>
      <c r="Q486" s="65">
        <v>0</v>
      </c>
      <c r="R486" s="65"/>
      <c r="S486" s="65"/>
      <c r="T486" s="64">
        <f>+'Приложение №2'!E495-'Приложение №1'!P486-'Приложение №1'!Q486-'Приложение №1'!R486-'Приложение №1'!S486</f>
        <v>19336396.39246536</v>
      </c>
      <c r="U486" s="65">
        <f t="shared" si="301"/>
        <v>5340.6519914306336</v>
      </c>
      <c r="V486" s="65">
        <v>1182.2830200640001</v>
      </c>
      <c r="W486" s="126">
        <v>2024</v>
      </c>
      <c r="X486" s="74">
        <v>1911755.57</v>
      </c>
      <c r="Y486" s="74">
        <f>+(K486*9.1+L486*18.19)*12</f>
        <v>517664.54399999999</v>
      </c>
      <c r="AA486" s="129">
        <f>+N486-'[5]Приложение № 2'!E575</f>
        <v>24518933.292658038</v>
      </c>
      <c r="AD486" s="129">
        <f>+N486-'[5]Приложение № 2'!E575</f>
        <v>24518933.292658038</v>
      </c>
      <c r="AP486" s="128">
        <f>+N486-'Приложение №2'!E495</f>
        <v>0</v>
      </c>
      <c r="AQ486" s="143">
        <f>2359832.72-R210</f>
        <v>1876291.5200000003</v>
      </c>
      <c r="AR486" s="25">
        <f t="shared" ref="AR486" si="303">+(K486*10+L486*20)*12*0.85</f>
        <v>483541.2</v>
      </c>
      <c r="AS486" s="25">
        <f>+(K486*10+L486*20)*12*30-S210</f>
        <v>17066160</v>
      </c>
      <c r="AT486" s="127">
        <f t="shared" ref="AT486" si="304">+S486-AS486</f>
        <v>-17066160</v>
      </c>
      <c r="AU486" s="127">
        <f>+P486-'[6]Приложение №1'!$P585</f>
        <v>3909952.070192676</v>
      </c>
      <c r="AV486" s="127">
        <f>+Q486-'[6]Приложение №1'!$Q585</f>
        <v>0</v>
      </c>
      <c r="AW486" s="63">
        <f t="shared" ref="AW486" si="305">SUBTOTAL(9,AX486:BL486)</f>
        <v>24518933.292658038</v>
      </c>
      <c r="AX486" s="64"/>
      <c r="AY486" s="64"/>
      <c r="AZ486" s="64"/>
      <c r="BA486" s="64">
        <v>0</v>
      </c>
      <c r="BB486" s="64">
        <v>0</v>
      </c>
      <c r="BC486" s="64"/>
      <c r="BD486" s="64">
        <v>0</v>
      </c>
      <c r="BE486" s="64">
        <v>0</v>
      </c>
      <c r="BF486" s="64">
        <v>0</v>
      </c>
      <c r="BG486" s="64">
        <v>0</v>
      </c>
      <c r="BH486" s="64">
        <v>23029662.709043846</v>
      </c>
      <c r="BI486" s="64"/>
      <c r="BJ486" s="64">
        <v>840138.45000000007</v>
      </c>
      <c r="BK486" s="65"/>
      <c r="BL486" s="66">
        <v>649132.13361419411</v>
      </c>
    </row>
    <row r="487" spans="1:64" x14ac:dyDescent="0.25">
      <c r="A487" s="141">
        <f t="shared" si="293"/>
        <v>468</v>
      </c>
      <c r="B487" s="142">
        <f t="shared" si="294"/>
        <v>10</v>
      </c>
      <c r="C487" s="62" t="s">
        <v>51</v>
      </c>
      <c r="D487" s="62" t="s">
        <v>995</v>
      </c>
      <c r="E487" s="123">
        <v>1985</v>
      </c>
      <c r="F487" s="123">
        <v>1985</v>
      </c>
      <c r="G487" s="123" t="s">
        <v>43</v>
      </c>
      <c r="H487" s="123">
        <v>4</v>
      </c>
      <c r="I487" s="123">
        <v>2</v>
      </c>
      <c r="J487" s="64">
        <v>1511.1</v>
      </c>
      <c r="K487" s="64">
        <v>1366.85</v>
      </c>
      <c r="L487" s="64">
        <v>0</v>
      </c>
      <c r="M487" s="124">
        <v>62</v>
      </c>
      <c r="N487" s="95">
        <f>+P487+Q487+R487+S487+T487</f>
        <v>3192771.5425127186</v>
      </c>
      <c r="O487" s="64"/>
      <c r="P487" s="65">
        <v>478248.08737109351</v>
      </c>
      <c r="Q487" s="65"/>
      <c r="R487" s="65">
        <f>+AQ487+AR487</f>
        <v>732918.84</v>
      </c>
      <c r="S487" s="65">
        <f>+'Приложение №2'!E496-'Приложение №1'!P487-'Приложение №1'!Q487-'Приложение №1'!R487</f>
        <v>1981604.6151416251</v>
      </c>
      <c r="T487" s="64"/>
      <c r="U487" s="65">
        <f t="shared" si="301"/>
        <v>2335.8609521986455</v>
      </c>
      <c r="V487" s="65">
        <v>1183.2830200640001</v>
      </c>
      <c r="W487" s="126">
        <v>2024</v>
      </c>
      <c r="X487" s="127" t="e">
        <f>+#REF!-'[1]Приложение №1'!$P557</f>
        <v>#REF!</v>
      </c>
      <c r="Z487" s="63">
        <f>SUM(AA487:AO487)</f>
        <v>7089248.6021132804</v>
      </c>
      <c r="AA487" s="64">
        <v>0</v>
      </c>
      <c r="AB487" s="64">
        <v>0</v>
      </c>
      <c r="AC487" s="64">
        <v>0</v>
      </c>
      <c r="AD487" s="64">
        <v>0</v>
      </c>
      <c r="AE487" s="64">
        <v>0</v>
      </c>
      <c r="AF487" s="64"/>
      <c r="AG487" s="64">
        <v>0</v>
      </c>
      <c r="AH487" s="64">
        <v>0</v>
      </c>
      <c r="AI487" s="64">
        <v>0</v>
      </c>
      <c r="AJ487" s="64">
        <v>2448913.4700000002</v>
      </c>
      <c r="AK487" s="64">
        <v>3110879.85</v>
      </c>
      <c r="AL487" s="64">
        <v>1036083.9228779406</v>
      </c>
      <c r="AM487" s="64">
        <v>392917.04065692797</v>
      </c>
      <c r="AN487" s="65">
        <v>18562.626065692799</v>
      </c>
      <c r="AO487" s="66">
        <v>81891.69251271851</v>
      </c>
      <c r="AP487" s="128">
        <f>+N487-'Приложение №2'!E496</f>
        <v>0</v>
      </c>
      <c r="AQ487" s="23">
        <v>593500.14</v>
      </c>
      <c r="AR487" s="25">
        <f>+(K487*10+L487*20)*12*0.85</f>
        <v>139418.69999999998</v>
      </c>
      <c r="AS487" s="25">
        <f>+(K487*10+L487*20)*12*30</f>
        <v>4920660</v>
      </c>
      <c r="AT487" s="127">
        <f>+S487-AS487</f>
        <v>-2939055.3848583749</v>
      </c>
      <c r="AU487" s="127">
        <f>+P487-'[6]Приложение №1'!$P214</f>
        <v>0</v>
      </c>
      <c r="AV487" s="127">
        <f>+Q487-'[6]Приложение №1'!$Q214</f>
        <v>0</v>
      </c>
      <c r="AW487" s="63">
        <f>SUBTOTAL(9,AX487:BL487)</f>
        <v>3192771.5425127186</v>
      </c>
      <c r="AX487" s="64">
        <v>0</v>
      </c>
      <c r="AY487" s="64">
        <v>0</v>
      </c>
      <c r="AZ487" s="64">
        <v>0</v>
      </c>
      <c r="BA487" s="64">
        <v>0</v>
      </c>
      <c r="BB487" s="64">
        <v>0</v>
      </c>
      <c r="BC487" s="64"/>
      <c r="BD487" s="64"/>
      <c r="BE487" s="64">
        <v>0</v>
      </c>
      <c r="BF487" s="64">
        <v>0</v>
      </c>
      <c r="BG487" s="64"/>
      <c r="BH487" s="64">
        <v>3110879.85</v>
      </c>
      <c r="BI487" s="64"/>
      <c r="BJ487" s="64"/>
      <c r="BK487" s="65"/>
      <c r="BL487" s="66">
        <v>81891.69251271851</v>
      </c>
    </row>
    <row r="488" spans="1:64" x14ac:dyDescent="0.25">
      <c r="A488" s="141">
        <f t="shared" si="293"/>
        <v>469</v>
      </c>
      <c r="B488" s="142">
        <f t="shared" si="294"/>
        <v>11</v>
      </c>
      <c r="C488" s="62" t="s">
        <v>51</v>
      </c>
      <c r="D488" s="62" t="s">
        <v>624</v>
      </c>
      <c r="E488" s="123">
        <v>1990</v>
      </c>
      <c r="F488" s="123">
        <v>1990</v>
      </c>
      <c r="G488" s="123" t="s">
        <v>43</v>
      </c>
      <c r="H488" s="123">
        <v>5</v>
      </c>
      <c r="I488" s="123">
        <v>6</v>
      </c>
      <c r="J488" s="64">
        <v>5208.7</v>
      </c>
      <c r="K488" s="64">
        <v>4621.34</v>
      </c>
      <c r="L488" s="64">
        <v>0</v>
      </c>
      <c r="M488" s="124">
        <v>157</v>
      </c>
      <c r="N488" s="63">
        <f t="shared" si="286"/>
        <v>32932723.469613533</v>
      </c>
      <c r="O488" s="64"/>
      <c r="P488" s="65">
        <v>3299198.8272420606</v>
      </c>
      <c r="Q488" s="65"/>
      <c r="R488" s="65">
        <f t="shared" si="292"/>
        <v>1221882.4739999999</v>
      </c>
      <c r="S488" s="65">
        <f t="shared" si="298"/>
        <v>14100981.284563839</v>
      </c>
      <c r="T488" s="65">
        <f>+'Приложение №2'!E497-'Приложение №1'!P488-'Приложение №1'!Q488-'Приложение №1'!R488-'Приложение №1'!S488</f>
        <v>14310660.883807633</v>
      </c>
      <c r="U488" s="65">
        <f t="shared" si="290"/>
        <v>7126.2282086177456</v>
      </c>
      <c r="V488" s="65">
        <v>1181.2830200640001</v>
      </c>
      <c r="W488" s="126">
        <v>2024</v>
      </c>
      <c r="X488" s="127" t="e">
        <f>+#REF!-'[1]Приложение №1'!$P912</f>
        <v>#REF!</v>
      </c>
      <c r="Z488" s="63">
        <f t="shared" ref="Z488:Z501" si="306">SUM(AA488:AO488)</f>
        <v>29603700.840000004</v>
      </c>
      <c r="AA488" s="64">
        <v>12966620.036643</v>
      </c>
      <c r="AB488" s="64">
        <v>6246443.2957088398</v>
      </c>
      <c r="AC488" s="64">
        <v>3814719.10351812</v>
      </c>
      <c r="AD488" s="64">
        <v>2570628.0509279999</v>
      </c>
      <c r="AE488" s="64">
        <v>0</v>
      </c>
      <c r="AF488" s="64"/>
      <c r="AG488" s="64">
        <v>418822.00892279996</v>
      </c>
      <c r="AH488" s="64">
        <v>0</v>
      </c>
      <c r="AI488" s="64">
        <v>0</v>
      </c>
      <c r="AJ488" s="64">
        <v>0</v>
      </c>
      <c r="AK488" s="64">
        <v>0</v>
      </c>
      <c r="AL488" s="64">
        <v>0</v>
      </c>
      <c r="AM488" s="64">
        <v>2721487.1549999998</v>
      </c>
      <c r="AN488" s="65">
        <v>296037.00840000005</v>
      </c>
      <c r="AO488" s="66">
        <v>568944.18087924004</v>
      </c>
      <c r="AP488" s="128">
        <f>+N488-'Приложение №2'!E497</f>
        <v>0</v>
      </c>
      <c r="AQ488" s="127">
        <f>2725566.58-R25</f>
        <v>726936.96</v>
      </c>
      <c r="AR488" s="25">
        <f t="shared" si="299"/>
        <v>494945.51399999997</v>
      </c>
      <c r="AS488" s="25">
        <f>+(K488*10.5+L488*21)*12*30-S25</f>
        <v>14100981.284563839</v>
      </c>
      <c r="AT488" s="127">
        <f t="shared" si="285"/>
        <v>0</v>
      </c>
      <c r="AU488" s="127">
        <f>+P488-'[6]Приложение №1'!$P468</f>
        <v>0</v>
      </c>
      <c r="AV488" s="127">
        <f>+Q488-'[6]Приложение №1'!$Q468</f>
        <v>0</v>
      </c>
      <c r="AW488" s="88">
        <f t="shared" si="291"/>
        <v>32932723.469613533</v>
      </c>
      <c r="AX488" s="64">
        <v>15445175.692750497</v>
      </c>
      <c r="AY488" s="64"/>
      <c r="AZ488" s="64"/>
      <c r="BA488" s="64">
        <v>4394988.2082883734</v>
      </c>
      <c r="BB488" s="64">
        <v>0</v>
      </c>
      <c r="BC488" s="64"/>
      <c r="BD488" s="64">
        <v>498856.69936996914</v>
      </c>
      <c r="BE488" s="64">
        <v>0</v>
      </c>
      <c r="BF488" s="64">
        <v>0</v>
      </c>
      <c r="BG488" s="64">
        <v>0</v>
      </c>
      <c r="BH488" s="64">
        <v>0</v>
      </c>
      <c r="BI488" s="64">
        <v>11673633.711611507</v>
      </c>
      <c r="BJ488" s="64"/>
      <c r="BK488" s="65"/>
      <c r="BL488" s="66">
        <v>920069.15759318683</v>
      </c>
    </row>
    <row r="489" spans="1:64" x14ac:dyDescent="0.25">
      <c r="A489" s="141">
        <f t="shared" si="293"/>
        <v>470</v>
      </c>
      <c r="B489" s="142">
        <f t="shared" si="294"/>
        <v>12</v>
      </c>
      <c r="C489" s="62" t="s">
        <v>51</v>
      </c>
      <c r="D489" s="62" t="s">
        <v>627</v>
      </c>
      <c r="E489" s="123">
        <v>1996</v>
      </c>
      <c r="F489" s="123">
        <v>1996</v>
      </c>
      <c r="G489" s="123" t="s">
        <v>43</v>
      </c>
      <c r="H489" s="123">
        <v>5</v>
      </c>
      <c r="I489" s="123">
        <v>4</v>
      </c>
      <c r="J489" s="64">
        <v>3635.6</v>
      </c>
      <c r="K489" s="64">
        <v>3076.7</v>
      </c>
      <c r="L489" s="64">
        <v>0</v>
      </c>
      <c r="M489" s="124">
        <v>99</v>
      </c>
      <c r="N489" s="63">
        <f t="shared" si="286"/>
        <v>3415049.3259558538</v>
      </c>
      <c r="O489" s="64"/>
      <c r="P489" s="65">
        <v>1728310.2671391205</v>
      </c>
      <c r="Q489" s="65"/>
      <c r="R489" s="65">
        <f>+AR489</f>
        <v>329514.56999999995</v>
      </c>
      <c r="S489" s="65">
        <f>+AS489-8032509.94</f>
        <v>1357224.4899999974</v>
      </c>
      <c r="T489" s="65">
        <f>+'Приложение №2'!E498-'Приложение №1'!P489-'Приложение №1'!R489-'Приложение №1'!S489</f>
        <v>-1.1832639575004578E-3</v>
      </c>
      <c r="U489" s="65">
        <f t="shared" si="290"/>
        <v>1109.9715038696831</v>
      </c>
      <c r="V489" s="65">
        <v>1182.2830200640001</v>
      </c>
      <c r="W489" s="126">
        <v>2024</v>
      </c>
      <c r="X489" s="127" t="e">
        <f>+#REF!-'[1]Приложение №1'!$P1319</f>
        <v>#REF!</v>
      </c>
      <c r="Z489" s="63">
        <f t="shared" si="306"/>
        <v>19793523.878556482</v>
      </c>
      <c r="AA489" s="64">
        <v>8669706.261442598</v>
      </c>
      <c r="AB489" s="64">
        <v>4176471.8107184474</v>
      </c>
      <c r="AC489" s="64">
        <v>2550584.6132842074</v>
      </c>
      <c r="AD489" s="64">
        <v>1718769.1663160517</v>
      </c>
      <c r="AE489" s="64">
        <v>0</v>
      </c>
      <c r="AF489" s="64"/>
      <c r="AG489" s="64">
        <v>280018.89626418491</v>
      </c>
      <c r="AH489" s="64">
        <v>0</v>
      </c>
      <c r="AI489" s="64">
        <v>0</v>
      </c>
      <c r="AJ489" s="64">
        <v>0</v>
      </c>
      <c r="AK489" s="64">
        <v>0</v>
      </c>
      <c r="AL489" s="64">
        <v>0</v>
      </c>
      <c r="AM489" s="64">
        <v>1819632.4288313186</v>
      </c>
      <c r="AN489" s="65">
        <v>197935.23878556484</v>
      </c>
      <c r="AO489" s="66">
        <v>380405.46291410743</v>
      </c>
      <c r="AP489" s="128">
        <f>+N489-'Приложение №2'!E498</f>
        <v>0</v>
      </c>
      <c r="AQ489" s="127">
        <f>1855261.06-R215</f>
        <v>1278759.96</v>
      </c>
      <c r="AR489" s="25">
        <f t="shared" si="299"/>
        <v>329514.56999999995</v>
      </c>
      <c r="AS489" s="25">
        <f>+(K489*10.5+L489*21)*12*30-S215</f>
        <v>9389734.4299999978</v>
      </c>
      <c r="AT489" s="127">
        <f t="shared" si="285"/>
        <v>-8032509.9400000004</v>
      </c>
      <c r="AU489" s="127">
        <f>+P489-'[6]Приложение №1'!$P469</f>
        <v>0</v>
      </c>
      <c r="AV489" s="127">
        <f>+Q489-'[6]Приложение №1'!$Q469</f>
        <v>0</v>
      </c>
      <c r="AW489" s="88">
        <f t="shared" si="291"/>
        <v>3415049.3259558538</v>
      </c>
      <c r="AX489" s="64"/>
      <c r="AY489" s="64"/>
      <c r="AZ489" s="64">
        <v>3025139.6994356234</v>
      </c>
      <c r="BA489" s="64"/>
      <c r="BB489" s="64">
        <v>0</v>
      </c>
      <c r="BC489" s="64"/>
      <c r="BD489" s="64"/>
      <c r="BE489" s="64">
        <v>0</v>
      </c>
      <c r="BF489" s="64">
        <v>0</v>
      </c>
      <c r="BG489" s="64">
        <v>0</v>
      </c>
      <c r="BH489" s="64">
        <v>0</v>
      </c>
      <c r="BI489" s="64">
        <v>0</v>
      </c>
      <c r="BJ489" s="64"/>
      <c r="BK489" s="65"/>
      <c r="BL489" s="66">
        <v>389909.62652023067</v>
      </c>
    </row>
    <row r="490" spans="1:64" x14ac:dyDescent="0.25">
      <c r="A490" s="141">
        <f t="shared" si="293"/>
        <v>471</v>
      </c>
      <c r="B490" s="142">
        <f t="shared" si="294"/>
        <v>13</v>
      </c>
      <c r="C490" s="62" t="s">
        <v>51</v>
      </c>
      <c r="D490" s="62" t="s">
        <v>628</v>
      </c>
      <c r="E490" s="123">
        <v>1996</v>
      </c>
      <c r="F490" s="123">
        <v>1996</v>
      </c>
      <c r="G490" s="123" t="s">
        <v>43</v>
      </c>
      <c r="H490" s="123">
        <v>5</v>
      </c>
      <c r="I490" s="123">
        <v>3</v>
      </c>
      <c r="J490" s="64">
        <v>4938</v>
      </c>
      <c r="K490" s="64">
        <v>4205.3999999999996</v>
      </c>
      <c r="L490" s="64">
        <v>368.1</v>
      </c>
      <c r="M490" s="124">
        <v>156</v>
      </c>
      <c r="N490" s="63">
        <f t="shared" si="286"/>
        <v>26824385.298744269</v>
      </c>
      <c r="O490" s="64"/>
      <c r="P490" s="65">
        <v>3325117.073269573</v>
      </c>
      <c r="Q490" s="65"/>
      <c r="R490" s="65">
        <v>893007.83000000007</v>
      </c>
      <c r="S490" s="65"/>
      <c r="T490" s="65">
        <f>+'Приложение №2'!E499-'Приложение №1'!P490-'Приложение №1'!Q490-'Приложение №1'!R490-'Приложение №1'!S490</f>
        <v>22606260.395474695</v>
      </c>
      <c r="U490" s="65">
        <f t="shared" si="290"/>
        <v>6378.5574020888071</v>
      </c>
      <c r="V490" s="65">
        <v>1183.2830200640001</v>
      </c>
      <c r="W490" s="126">
        <v>2024</v>
      </c>
      <c r="X490" s="127" t="e">
        <f>+#REF!-'[1]Приложение №1'!$P1321</f>
        <v>#REF!</v>
      </c>
      <c r="Z490" s="63">
        <f t="shared" si="306"/>
        <v>50568335.216347866</v>
      </c>
      <c r="AA490" s="64">
        <v>24697562.248763699</v>
      </c>
      <c r="AB490" s="64">
        <v>11897597.152070316</v>
      </c>
      <c r="AC490" s="64">
        <v>7265900.4074313128</v>
      </c>
      <c r="AD490" s="64">
        <v>0</v>
      </c>
      <c r="AE490" s="64">
        <v>0</v>
      </c>
      <c r="AF490" s="64"/>
      <c r="AG490" s="64">
        <v>797695.3212442582</v>
      </c>
      <c r="AH490" s="64">
        <v>0</v>
      </c>
      <c r="AI490" s="64">
        <v>0</v>
      </c>
      <c r="AJ490" s="64">
        <v>0</v>
      </c>
      <c r="AK490" s="64">
        <v>0</v>
      </c>
      <c r="AL490" s="64">
        <v>0</v>
      </c>
      <c r="AM490" s="64">
        <v>4427300.209259402</v>
      </c>
      <c r="AN490" s="65">
        <v>505683.35216347867</v>
      </c>
      <c r="AO490" s="66">
        <v>976596.5254153948</v>
      </c>
      <c r="AP490" s="128">
        <f>+N490-'Приложение №2'!E499</f>
        <v>0</v>
      </c>
      <c r="AQ490" s="23">
        <v>45757.05</v>
      </c>
      <c r="AR490" s="25">
        <f t="shared" si="299"/>
        <v>529245.36</v>
      </c>
      <c r="AS490" s="25">
        <f>+(K490*10.5+L490*21)*12*30</f>
        <v>18679248</v>
      </c>
      <c r="AT490" s="127">
        <f t="shared" si="285"/>
        <v>-18679248</v>
      </c>
      <c r="AU490" s="127">
        <f>+P490-'[6]Приложение №1'!$P470</f>
        <v>0</v>
      </c>
      <c r="AV490" s="127">
        <f>+Q490-'[6]Приложение №1'!$Q470</f>
        <v>0</v>
      </c>
      <c r="AW490" s="88">
        <f t="shared" si="291"/>
        <v>26824385.298744265</v>
      </c>
      <c r="AX490" s="64">
        <v>14432823.302317059</v>
      </c>
      <c r="AY490" s="64">
        <v>7108989.1508563198</v>
      </c>
      <c r="AZ490" s="64">
        <v>4341482.2764144</v>
      </c>
      <c r="BA490" s="64">
        <v>0</v>
      </c>
      <c r="BB490" s="64">
        <v>0</v>
      </c>
      <c r="BC490" s="64">
        <v>0</v>
      </c>
      <c r="BD490" s="64">
        <v>432862.10529120005</v>
      </c>
      <c r="BE490" s="64">
        <v>0</v>
      </c>
      <c r="BF490" s="64">
        <v>0</v>
      </c>
      <c r="BG490" s="64">
        <v>0</v>
      </c>
      <c r="BH490" s="64">
        <v>0</v>
      </c>
      <c r="BI490" s="64">
        <v>0</v>
      </c>
      <c r="BJ490" s="64"/>
      <c r="BK490" s="65"/>
      <c r="BL490" s="66">
        <v>508228.46386528754</v>
      </c>
    </row>
    <row r="491" spans="1:64" s="74" customFormat="1" x14ac:dyDescent="0.25">
      <c r="A491" s="141">
        <f t="shared" si="293"/>
        <v>472</v>
      </c>
      <c r="B491" s="142">
        <f t="shared" si="294"/>
        <v>14</v>
      </c>
      <c r="C491" s="62" t="s">
        <v>966</v>
      </c>
      <c r="D491" s="62" t="s">
        <v>928</v>
      </c>
      <c r="E491" s="123" t="s">
        <v>119</v>
      </c>
      <c r="F491" s="123"/>
      <c r="G491" s="123" t="s">
        <v>43</v>
      </c>
      <c r="H491" s="123" t="s">
        <v>108</v>
      </c>
      <c r="I491" s="123" t="s">
        <v>105</v>
      </c>
      <c r="J491" s="64">
        <v>3731.6</v>
      </c>
      <c r="K491" s="64">
        <v>3131.6</v>
      </c>
      <c r="L491" s="64">
        <v>600</v>
      </c>
      <c r="M491" s="124">
        <v>135</v>
      </c>
      <c r="N491" s="95">
        <f t="shared" ref="N491:N496" si="307">+P491+Q491+R491+S491+T491</f>
        <v>35036855.456389129</v>
      </c>
      <c r="O491" s="64">
        <v>0</v>
      </c>
      <c r="P491" s="65">
        <v>1120717.4520800433</v>
      </c>
      <c r="Q491" s="65">
        <v>0</v>
      </c>
      <c r="R491" s="65">
        <f>+AR491</f>
        <v>441823.2</v>
      </c>
      <c r="S491" s="65">
        <f t="shared" ref="S491:S496" si="308">+AS491</f>
        <v>15593760</v>
      </c>
      <c r="T491" s="65">
        <f>+'Приложение №2'!E500-'Приложение №1'!P491-'Приложение №1'!R491-'Приложение №1'!S491</f>
        <v>17880554.804309081</v>
      </c>
      <c r="U491" s="64">
        <f t="shared" ref="U491:V496" si="309">$N491/($K491+$L491)</f>
        <v>9389.2312832000025</v>
      </c>
      <c r="V491" s="64">
        <f t="shared" si="309"/>
        <v>9389.2312832000025</v>
      </c>
      <c r="W491" s="126">
        <v>2024</v>
      </c>
      <c r="X491" s="74">
        <v>812156.34</v>
      </c>
      <c r="Y491" s="74">
        <f t="shared" ref="Y491:Y496" si="310">+(K491*9.1+L491*18.19)*12</f>
        <v>472938.72</v>
      </c>
      <c r="AA491" s="129">
        <f>+N491-'[5]Приложение № 2'!E576</f>
        <v>-10109680.766677752</v>
      </c>
      <c r="AD491" s="129">
        <f>+N491-'[5]Приложение № 2'!E576</f>
        <v>-10109680.766677752</v>
      </c>
      <c r="AP491" s="128">
        <f>+N491-'Приложение №2'!E500</f>
        <v>0</v>
      </c>
      <c r="AQ491" s="143">
        <f>1031781.22</f>
        <v>1031781.22</v>
      </c>
      <c r="AR491" s="25">
        <f t="shared" ref="AR491:AR496" si="311">+(K491*10+L491*20)*12*0.85</f>
        <v>441823.2</v>
      </c>
      <c r="AS491" s="25">
        <f>+(K491*10+L491*20)*12*30</f>
        <v>15593760</v>
      </c>
      <c r="AT491" s="127">
        <f t="shared" si="285"/>
        <v>0</v>
      </c>
      <c r="AU491" s="127">
        <f>+P491-'[6]Приложение №1'!$P587</f>
        <v>-6117218.9133599568</v>
      </c>
      <c r="AV491" s="127">
        <f>+Q491-'[6]Приложение №1'!$Q587</f>
        <v>0</v>
      </c>
      <c r="AW491" s="63">
        <f t="shared" si="291"/>
        <v>35036855.456389122</v>
      </c>
      <c r="AX491" s="64"/>
      <c r="AY491" s="64"/>
      <c r="AZ491" s="64"/>
      <c r="BA491" s="64"/>
      <c r="BB491" s="64"/>
      <c r="BC491" s="64"/>
      <c r="BD491" s="64"/>
      <c r="BE491" s="64"/>
      <c r="BF491" s="64">
        <v>13204189.220300563</v>
      </c>
      <c r="BG491" s="64"/>
      <c r="BH491" s="64">
        <v>18418596.889079686</v>
      </c>
      <c r="BI491" s="64">
        <v>0</v>
      </c>
      <c r="BJ491" s="64">
        <v>2372174.5072000003</v>
      </c>
      <c r="BK491" s="65">
        <v>350368.5545638912</v>
      </c>
      <c r="BL491" s="66">
        <v>691526.28524498001</v>
      </c>
    </row>
    <row r="492" spans="1:64" s="74" customFormat="1" x14ac:dyDescent="0.25">
      <c r="A492" s="141">
        <f t="shared" si="293"/>
        <v>473</v>
      </c>
      <c r="B492" s="142">
        <f t="shared" si="294"/>
        <v>15</v>
      </c>
      <c r="C492" s="62" t="s">
        <v>966</v>
      </c>
      <c r="D492" s="62" t="s">
        <v>929</v>
      </c>
      <c r="E492" s="123" t="s">
        <v>120</v>
      </c>
      <c r="F492" s="123"/>
      <c r="G492" s="123" t="s">
        <v>43</v>
      </c>
      <c r="H492" s="123" t="s">
        <v>108</v>
      </c>
      <c r="I492" s="123" t="s">
        <v>108</v>
      </c>
      <c r="J492" s="64">
        <v>4283</v>
      </c>
      <c r="K492" s="64">
        <v>3860.1</v>
      </c>
      <c r="L492" s="64">
        <v>409</v>
      </c>
      <c r="M492" s="124">
        <v>142</v>
      </c>
      <c r="N492" s="95">
        <f t="shared" si="307"/>
        <v>24956333.069404669</v>
      </c>
      <c r="O492" s="64">
        <v>0</v>
      </c>
      <c r="P492" s="65">
        <v>1586711.6355164612</v>
      </c>
      <c r="Q492" s="65">
        <v>0</v>
      </c>
      <c r="R492" s="65">
        <f>+AR492</f>
        <v>477166.2</v>
      </c>
      <c r="S492" s="65">
        <f t="shared" si="308"/>
        <v>0</v>
      </c>
      <c r="T492" s="65">
        <f>+'Приложение №2'!E501-'Приложение №1'!P492-'Приложение №1'!R492-'Приложение №1'!S492</f>
        <v>22892455.233888209</v>
      </c>
      <c r="U492" s="64">
        <f t="shared" si="309"/>
        <v>5845.8066265500147</v>
      </c>
      <c r="V492" s="64">
        <f t="shared" si="309"/>
        <v>5845.8066265500147</v>
      </c>
      <c r="W492" s="126">
        <v>2024</v>
      </c>
      <c r="X492" s="74">
        <v>1086066.79</v>
      </c>
      <c r="Y492" s="74">
        <f t="shared" si="310"/>
        <v>510799.43999999994</v>
      </c>
      <c r="AA492" s="129">
        <f>+N492-'[5]Приложение № 2'!E577</f>
        <v>24956333.069404669</v>
      </c>
      <c r="AD492" s="129">
        <f>+N492-'[5]Приложение № 2'!E577</f>
        <v>24956333.069404669</v>
      </c>
      <c r="AP492" s="128">
        <f>+N492-'Приложение №2'!E501</f>
        <v>0</v>
      </c>
      <c r="AQ492" s="143">
        <f>1338217.39-R217</f>
        <v>-477166.19999999995</v>
      </c>
      <c r="AR492" s="25">
        <f t="shared" si="311"/>
        <v>477166.2</v>
      </c>
      <c r="AS492" s="25">
        <f>+(K492*10+L492*20)*12*30-S217</f>
        <v>0</v>
      </c>
      <c r="AT492" s="127">
        <f t="shared" si="285"/>
        <v>0</v>
      </c>
      <c r="AU492" s="127">
        <f>+P492-'[6]Приложение №1'!$P588</f>
        <v>1586711.6355164612</v>
      </c>
      <c r="AV492" s="127">
        <f>+Q492-'[6]Приложение №1'!$Q588</f>
        <v>0</v>
      </c>
      <c r="AW492" s="63">
        <f t="shared" si="291"/>
        <v>24956333.069404669</v>
      </c>
      <c r="AX492" s="64"/>
      <c r="AY492" s="64"/>
      <c r="AZ492" s="64"/>
      <c r="BA492" s="64"/>
      <c r="BB492" s="64"/>
      <c r="BC492" s="64"/>
      <c r="BD492" s="64"/>
      <c r="BE492" s="64"/>
      <c r="BF492" s="64"/>
      <c r="BG492" s="64"/>
      <c r="BH492" s="64">
        <v>21071613.243426438</v>
      </c>
      <c r="BI492" s="64">
        <v>0</v>
      </c>
      <c r="BJ492" s="64">
        <v>2692288.6746999999</v>
      </c>
      <c r="BK492" s="65">
        <v>400835.67271109129</v>
      </c>
      <c r="BL492" s="66">
        <v>791595.47856713797</v>
      </c>
    </row>
    <row r="493" spans="1:64" s="74" customFormat="1" x14ac:dyDescent="0.25">
      <c r="A493" s="141">
        <f t="shared" si="293"/>
        <v>474</v>
      </c>
      <c r="B493" s="142">
        <f t="shared" si="294"/>
        <v>16</v>
      </c>
      <c r="C493" s="62" t="s">
        <v>966</v>
      </c>
      <c r="D493" s="62" t="s">
        <v>930</v>
      </c>
      <c r="E493" s="123" t="s">
        <v>121</v>
      </c>
      <c r="F493" s="123"/>
      <c r="G493" s="123" t="s">
        <v>43</v>
      </c>
      <c r="H493" s="123" t="s">
        <v>108</v>
      </c>
      <c r="I493" s="123" t="s">
        <v>101</v>
      </c>
      <c r="J493" s="64">
        <v>3806</v>
      </c>
      <c r="K493" s="64">
        <v>3356.9</v>
      </c>
      <c r="L493" s="64">
        <v>351</v>
      </c>
      <c r="M493" s="124">
        <v>104</v>
      </c>
      <c r="N493" s="95">
        <f t="shared" si="307"/>
        <v>21704097.500143245</v>
      </c>
      <c r="O493" s="64">
        <v>0</v>
      </c>
      <c r="P493" s="65">
        <v>1385807.9601764705</v>
      </c>
      <c r="Q493" s="65">
        <v>0</v>
      </c>
      <c r="R493" s="65">
        <f>+AR493</f>
        <v>414007.8</v>
      </c>
      <c r="S493" s="65">
        <f t="shared" si="308"/>
        <v>0</v>
      </c>
      <c r="T493" s="65">
        <f>+'Приложение №2'!E502-'Приложение №1'!P493-'Приложение №1'!R493-'Приложение №1'!S493</f>
        <v>19904281.739966772</v>
      </c>
      <c r="U493" s="64">
        <f t="shared" si="309"/>
        <v>5853.4743386130276</v>
      </c>
      <c r="V493" s="64">
        <f t="shared" si="309"/>
        <v>5853.4743386130276</v>
      </c>
      <c r="W493" s="126">
        <v>2024</v>
      </c>
      <c r="X493" s="74">
        <v>1052695.6299999999</v>
      </c>
      <c r="Y493" s="74">
        <f t="shared" si="310"/>
        <v>443189.76000000001</v>
      </c>
      <c r="AA493" s="129">
        <f>+N493-'[5]Приложение № 2'!E578</f>
        <v>5876482.4443448447</v>
      </c>
      <c r="AD493" s="129">
        <f>+N493-'[5]Приложение № 2'!E578</f>
        <v>5876482.4443448447</v>
      </c>
      <c r="AP493" s="128">
        <f>+N493-'Приложение №2'!E502</f>
        <v>0</v>
      </c>
      <c r="AQ493" s="143">
        <f>1309419.32-R218</f>
        <v>-414007.80000000005</v>
      </c>
      <c r="AR493" s="25">
        <f t="shared" si="311"/>
        <v>414007.8</v>
      </c>
      <c r="AS493" s="25">
        <f>+(K493*10+L493*20)*12*30-S218</f>
        <v>0</v>
      </c>
      <c r="AT493" s="127">
        <f t="shared" si="285"/>
        <v>0</v>
      </c>
      <c r="AU493" s="127">
        <f>+P493-'[6]Приложение №1'!$P589</f>
        <v>-8548379.6038235314</v>
      </c>
      <c r="AV493" s="127">
        <f>+Q493-'[6]Приложение №1'!$Q589</f>
        <v>0</v>
      </c>
      <c r="AW493" s="63">
        <f t="shared" si="291"/>
        <v>21704097.500143245</v>
      </c>
      <c r="AX493" s="64"/>
      <c r="AY493" s="64"/>
      <c r="AZ493" s="64"/>
      <c r="BA493" s="64"/>
      <c r="BB493" s="64"/>
      <c r="BC493" s="64"/>
      <c r="BD493" s="64"/>
      <c r="BE493" s="64"/>
      <c r="BF493" s="64"/>
      <c r="BG493" s="64"/>
      <c r="BH493" s="64">
        <v>18301617.377269424</v>
      </c>
      <c r="BI493" s="64">
        <v>0</v>
      </c>
      <c r="BJ493" s="64">
        <v>2367423.2642999999</v>
      </c>
      <c r="BK493" s="65">
        <v>348143.3067497728</v>
      </c>
      <c r="BL493" s="66">
        <v>686913.55182404874</v>
      </c>
    </row>
    <row r="494" spans="1:64" s="74" customFormat="1" x14ac:dyDescent="0.25">
      <c r="A494" s="141">
        <f t="shared" si="293"/>
        <v>475</v>
      </c>
      <c r="B494" s="142">
        <f t="shared" si="294"/>
        <v>17</v>
      </c>
      <c r="C494" s="62" t="s">
        <v>966</v>
      </c>
      <c r="D494" s="62" t="s">
        <v>931</v>
      </c>
      <c r="E494" s="123" t="s">
        <v>104</v>
      </c>
      <c r="F494" s="123"/>
      <c r="G494" s="123" t="s">
        <v>43</v>
      </c>
      <c r="H494" s="123" t="s">
        <v>108</v>
      </c>
      <c r="I494" s="123" t="s">
        <v>101</v>
      </c>
      <c r="J494" s="64">
        <v>3860</v>
      </c>
      <c r="K494" s="64">
        <v>3379.8</v>
      </c>
      <c r="L494" s="64">
        <v>405</v>
      </c>
      <c r="M494" s="124">
        <v>121</v>
      </c>
      <c r="N494" s="95">
        <f t="shared" si="307"/>
        <v>35536362.560655363</v>
      </c>
      <c r="O494" s="64">
        <v>0</v>
      </c>
      <c r="P494" s="65">
        <v>1423763.6988494929</v>
      </c>
      <c r="Q494" s="65">
        <v>0</v>
      </c>
      <c r="R494" s="65">
        <f t="shared" ref="R494:R496" si="312">+AR494</f>
        <v>427359.6</v>
      </c>
      <c r="S494" s="65">
        <f t="shared" si="308"/>
        <v>15083280</v>
      </c>
      <c r="T494" s="65">
        <f>+'Приложение №2'!E503-'Приложение №1'!P494-'Приложение №1'!R494-'Приложение №1'!S494</f>
        <v>18601959.26180587</v>
      </c>
      <c r="U494" s="64">
        <f t="shared" si="309"/>
        <v>9389.2312832000007</v>
      </c>
      <c r="V494" s="64">
        <f t="shared" si="309"/>
        <v>9389.2312832000007</v>
      </c>
      <c r="W494" s="126">
        <v>2024</v>
      </c>
      <c r="X494" s="74">
        <v>866092.98</v>
      </c>
      <c r="Y494" s="74">
        <f t="shared" si="310"/>
        <v>457477.56000000006</v>
      </c>
      <c r="AA494" s="129">
        <f>+N494-'[5]Приложение № 2'!E579</f>
        <v>35536362.560655363</v>
      </c>
      <c r="AD494" s="129">
        <f>+N494-'[5]Приложение № 2'!E579</f>
        <v>35536362.560655363</v>
      </c>
      <c r="AP494" s="128">
        <f>+N494-'Приложение №2'!E503</f>
        <v>0</v>
      </c>
      <c r="AQ494" s="143">
        <f>1091644.43</f>
        <v>1091644.43</v>
      </c>
      <c r="AR494" s="25">
        <f t="shared" si="311"/>
        <v>427359.6</v>
      </c>
      <c r="AS494" s="25">
        <f>+(K494*10+L494*20)*12*30</f>
        <v>15083280</v>
      </c>
      <c r="AT494" s="127">
        <f t="shared" si="285"/>
        <v>0</v>
      </c>
      <c r="AU494" s="127">
        <f>+P494-'[6]Приложение №1'!$P590</f>
        <v>1423763.6988494929</v>
      </c>
      <c r="AV494" s="127">
        <f>+Q494-'[6]Приложение №1'!$Q590</f>
        <v>0</v>
      </c>
      <c r="AW494" s="63">
        <f t="shared" si="291"/>
        <v>35536362.560655363</v>
      </c>
      <c r="AX494" s="64"/>
      <c r="AY494" s="64"/>
      <c r="AZ494" s="64"/>
      <c r="BA494" s="64"/>
      <c r="BB494" s="64"/>
      <c r="BC494" s="64"/>
      <c r="BD494" s="64"/>
      <c r="BE494" s="64"/>
      <c r="BF494" s="64">
        <v>13388581.508087739</v>
      </c>
      <c r="BG494" s="64"/>
      <c r="BH494" s="64">
        <v>18681183.810105268</v>
      </c>
      <c r="BI494" s="64">
        <v>0</v>
      </c>
      <c r="BJ494" s="64">
        <v>2409932.8016000004</v>
      </c>
      <c r="BK494" s="65">
        <v>355363.62560655363</v>
      </c>
      <c r="BL494" s="66">
        <v>701300.81525580445</v>
      </c>
    </row>
    <row r="495" spans="1:64" s="74" customFormat="1" x14ac:dyDescent="0.25">
      <c r="A495" s="141">
        <f t="shared" si="293"/>
        <v>476</v>
      </c>
      <c r="B495" s="142">
        <f t="shared" si="294"/>
        <v>18</v>
      </c>
      <c r="C495" s="62" t="s">
        <v>966</v>
      </c>
      <c r="D495" s="62" t="s">
        <v>932</v>
      </c>
      <c r="E495" s="123" t="s">
        <v>107</v>
      </c>
      <c r="F495" s="123"/>
      <c r="G495" s="123" t="s">
        <v>43</v>
      </c>
      <c r="H495" s="123" t="s">
        <v>108</v>
      </c>
      <c r="I495" s="123" t="s">
        <v>101</v>
      </c>
      <c r="J495" s="64">
        <v>3821</v>
      </c>
      <c r="K495" s="64">
        <v>3372.2</v>
      </c>
      <c r="L495" s="64">
        <v>340</v>
      </c>
      <c r="M495" s="124">
        <v>99</v>
      </c>
      <c r="N495" s="95">
        <f t="shared" si="307"/>
        <v>34854704.369495042</v>
      </c>
      <c r="O495" s="64">
        <v>0</v>
      </c>
      <c r="P495" s="65">
        <v>1428537.26925231</v>
      </c>
      <c r="Q495" s="65">
        <v>0</v>
      </c>
      <c r="R495" s="65">
        <f t="shared" si="312"/>
        <v>413324.39999999997</v>
      </c>
      <c r="S495" s="65">
        <f t="shared" si="308"/>
        <v>14587920</v>
      </c>
      <c r="T495" s="65">
        <f>+'Приложение №2'!E504-'Приложение №1'!P495-'Приложение №1'!R495-'Приложение №1'!S495</f>
        <v>18424922.700242732</v>
      </c>
      <c r="U495" s="64">
        <f t="shared" si="309"/>
        <v>9389.2312832000007</v>
      </c>
      <c r="V495" s="64">
        <f t="shared" si="309"/>
        <v>9389.2312832000007</v>
      </c>
      <c r="W495" s="126">
        <v>2024</v>
      </c>
      <c r="X495" s="74">
        <v>992414.38</v>
      </c>
      <c r="Y495" s="74">
        <f t="shared" si="310"/>
        <v>442459.43999999994</v>
      </c>
      <c r="AA495" s="129">
        <f>+N495-'[5]Приложение № 2'!E580</f>
        <v>34854704.369495042</v>
      </c>
      <c r="AD495" s="129">
        <f>+N495-'[5]Приложение № 2'!E580</f>
        <v>34854704.369495042</v>
      </c>
      <c r="AP495" s="128">
        <f>+N495-'Приложение №2'!E504</f>
        <v>0</v>
      </c>
      <c r="AQ495" s="143">
        <f>1248620.15</f>
        <v>1248620.1499999999</v>
      </c>
      <c r="AR495" s="25">
        <f t="shared" si="311"/>
        <v>413324.39999999997</v>
      </c>
      <c r="AS495" s="25">
        <f>+(K495*10+L495*20)*12*30</f>
        <v>14587920</v>
      </c>
      <c r="AT495" s="127">
        <f t="shared" si="285"/>
        <v>0</v>
      </c>
      <c r="AU495" s="127">
        <f>+P495-'[6]Приложение №1'!$P591</f>
        <v>1428537.26925231</v>
      </c>
      <c r="AV495" s="127">
        <f>+Q495-'[6]Приложение №1'!$Q591</f>
        <v>0</v>
      </c>
      <c r="AW495" s="63">
        <f t="shared" si="291"/>
        <v>34854704.369495042</v>
      </c>
      <c r="AX495" s="64"/>
      <c r="AY495" s="64"/>
      <c r="AZ495" s="64"/>
      <c r="BA495" s="64"/>
      <c r="BB495" s="64"/>
      <c r="BC495" s="64"/>
      <c r="BD495" s="64"/>
      <c r="BE495" s="64"/>
      <c r="BF495" s="64">
        <v>13126738.266784133</v>
      </c>
      <c r="BG495" s="64"/>
      <c r="BH495" s="64">
        <v>18322841.508104198</v>
      </c>
      <c r="BI495" s="64">
        <v>0</v>
      </c>
      <c r="BJ495" s="64">
        <v>2368838.9373999997</v>
      </c>
      <c r="BK495" s="65">
        <v>348547.04369495041</v>
      </c>
      <c r="BL495" s="66">
        <v>687738.613511762</v>
      </c>
    </row>
    <row r="496" spans="1:64" s="74" customFormat="1" x14ac:dyDescent="0.25">
      <c r="A496" s="141">
        <f t="shared" si="293"/>
        <v>477</v>
      </c>
      <c r="B496" s="142">
        <f t="shared" si="294"/>
        <v>19</v>
      </c>
      <c r="C496" s="62" t="s">
        <v>966</v>
      </c>
      <c r="D496" s="62" t="s">
        <v>933</v>
      </c>
      <c r="E496" s="123" t="s">
        <v>122</v>
      </c>
      <c r="F496" s="123"/>
      <c r="G496" s="123" t="s">
        <v>43</v>
      </c>
      <c r="H496" s="123" t="s">
        <v>108</v>
      </c>
      <c r="I496" s="123" t="s">
        <v>98</v>
      </c>
      <c r="J496" s="64">
        <v>2573</v>
      </c>
      <c r="K496" s="64">
        <v>2123.1</v>
      </c>
      <c r="L496" s="64">
        <v>269</v>
      </c>
      <c r="M496" s="124">
        <v>69</v>
      </c>
      <c r="N496" s="95">
        <f t="shared" si="307"/>
        <v>22519426.852389794</v>
      </c>
      <c r="O496" s="64">
        <v>0</v>
      </c>
      <c r="P496" s="65">
        <v>935511.44753736479</v>
      </c>
      <c r="Q496" s="65">
        <v>0</v>
      </c>
      <c r="R496" s="65">
        <f t="shared" si="312"/>
        <v>271432.2</v>
      </c>
      <c r="S496" s="65">
        <f t="shared" si="308"/>
        <v>9579960</v>
      </c>
      <c r="T496" s="65">
        <f>+'Приложение №2'!E505-'Приложение №1'!P496-'Приложение №1'!R496-'Приложение №1'!S496</f>
        <v>11732523.204852428</v>
      </c>
      <c r="U496" s="64">
        <f t="shared" si="309"/>
        <v>9414.0825435348834</v>
      </c>
      <c r="V496" s="64">
        <f t="shared" si="309"/>
        <v>9414.0825435348834</v>
      </c>
      <c r="W496" s="126">
        <v>2024</v>
      </c>
      <c r="X496" s="74">
        <v>606999.5</v>
      </c>
      <c r="Y496" s="74">
        <f t="shared" si="310"/>
        <v>290559.83999999997</v>
      </c>
      <c r="AA496" s="129">
        <f>+N496-'[5]Приложение № 2'!E581</f>
        <v>22519426.852389794</v>
      </c>
      <c r="AD496" s="129">
        <f>+N496-'[5]Приложение № 2'!E581</f>
        <v>22519426.852389794</v>
      </c>
      <c r="AP496" s="128">
        <f>+N496-'Приложение №2'!E505</f>
        <v>0</v>
      </c>
      <c r="AQ496" s="143">
        <f>770087.63</f>
        <v>770087.63</v>
      </c>
      <c r="AR496" s="25">
        <f t="shared" si="311"/>
        <v>271432.2</v>
      </c>
      <c r="AS496" s="25">
        <f>+(K496*10+L496*20)*12*30</f>
        <v>9579960</v>
      </c>
      <c r="AT496" s="127">
        <f t="shared" si="285"/>
        <v>0</v>
      </c>
      <c r="AU496" s="127">
        <f>+P496-'[6]Приложение №1'!$P592</f>
        <v>-3118344.0672741346</v>
      </c>
      <c r="AV496" s="127">
        <f>+Q496-'[6]Приложение №1'!$Q592</f>
        <v>0</v>
      </c>
      <c r="AW496" s="63">
        <f t="shared" si="291"/>
        <v>22519426.852389794</v>
      </c>
      <c r="AX496" s="64"/>
      <c r="AY496" s="64"/>
      <c r="AZ496" s="64"/>
      <c r="BA496" s="64"/>
      <c r="BB496" s="64"/>
      <c r="BC496" s="64"/>
      <c r="BD496" s="64"/>
      <c r="BE496" s="64"/>
      <c r="BF496" s="64">
        <v>8451044.9299999997</v>
      </c>
      <c r="BG496" s="64"/>
      <c r="BH496" s="64">
        <v>11807033.341828575</v>
      </c>
      <c r="BI496" s="64">
        <v>0</v>
      </c>
      <c r="BJ496" s="64">
        <v>1595045.6157</v>
      </c>
      <c r="BK496" s="65">
        <v>224599.80152542717</v>
      </c>
      <c r="BL496" s="66">
        <v>441703.16333579004</v>
      </c>
    </row>
    <row r="497" spans="1:64" x14ac:dyDescent="0.25">
      <c r="A497" s="141">
        <f t="shared" si="293"/>
        <v>478</v>
      </c>
      <c r="B497" s="142">
        <f t="shared" si="294"/>
        <v>20</v>
      </c>
      <c r="C497" s="62" t="s">
        <v>82</v>
      </c>
      <c r="D497" s="62" t="s">
        <v>996</v>
      </c>
      <c r="E497" s="123">
        <v>1996</v>
      </c>
      <c r="F497" s="123">
        <v>1996</v>
      </c>
      <c r="G497" s="123" t="s">
        <v>43</v>
      </c>
      <c r="H497" s="123">
        <v>9</v>
      </c>
      <c r="I497" s="123">
        <v>2</v>
      </c>
      <c r="J497" s="64">
        <v>5868.8</v>
      </c>
      <c r="K497" s="64">
        <v>4891.1000000000004</v>
      </c>
      <c r="L497" s="64">
        <v>103.4</v>
      </c>
      <c r="M497" s="124">
        <v>176</v>
      </c>
      <c r="N497" s="63">
        <f>+P497+Q497+R497+S497+T497</f>
        <v>12074742.508927792</v>
      </c>
      <c r="O497" s="64"/>
      <c r="P497" s="65">
        <v>0</v>
      </c>
      <c r="Q497" s="65"/>
      <c r="R497" s="65">
        <f>+AR497</f>
        <v>720897.80099999998</v>
      </c>
      <c r="S497" s="65">
        <f>+'Приложение №2'!E506-'Приложение №1'!R497</f>
        <v>11353844.707927793</v>
      </c>
      <c r="T497" s="64">
        <f>+'Приложение №2'!E506-'Приложение №1'!P497-'Приложение №1'!Q497-'Приложение №1'!R497-'Приложение №1'!S497</f>
        <v>0</v>
      </c>
      <c r="U497" s="65">
        <f>$N497/($K497+$L497)</f>
        <v>2417.6078704430456</v>
      </c>
      <c r="V497" s="65">
        <f>$N497/($K497+$L497)</f>
        <v>2417.6078704430456</v>
      </c>
      <c r="W497" s="126">
        <v>2024</v>
      </c>
      <c r="X497" s="127" t="e">
        <f>+#REF!-'[1]Приложение №1'!$P1781</f>
        <v>#REF!</v>
      </c>
      <c r="Z497" s="63">
        <f t="shared" si="306"/>
        <v>26916272.679462254</v>
      </c>
      <c r="AA497" s="64">
        <v>11954408.568709729</v>
      </c>
      <c r="AB497" s="64">
        <v>4782903.5702124871</v>
      </c>
      <c r="AC497" s="64">
        <v>3532642.5089277923</v>
      </c>
      <c r="AD497" s="64">
        <v>2257520.5141524919</v>
      </c>
      <c r="AE497" s="64">
        <v>0</v>
      </c>
      <c r="AF497" s="64"/>
      <c r="AG497" s="64">
        <v>531117.68749178003</v>
      </c>
      <c r="AH497" s="64">
        <v>0</v>
      </c>
      <c r="AI497" s="64"/>
      <c r="AJ497" s="64">
        <v>0</v>
      </c>
      <c r="AK497" s="64">
        <v>0</v>
      </c>
      <c r="AL497" s="64">
        <v>0</v>
      </c>
      <c r="AM497" s="64">
        <v>2917548.1015033424</v>
      </c>
      <c r="AN497" s="65">
        <v>321479.91337035975</v>
      </c>
      <c r="AO497" s="66">
        <v>618651.81509427261</v>
      </c>
      <c r="AP497" s="128">
        <f>+N497-'Приложение №2'!E506</f>
        <v>0</v>
      </c>
      <c r="AQ497" s="127">
        <f>3904489.21-317048.16</f>
        <v>3587441.05</v>
      </c>
      <c r="AR497" s="25">
        <f t="shared" ref="AR497:AR499" si="313">+(K497*13.95+L497*23.65)*12*0.85</f>
        <v>720897.80099999998</v>
      </c>
      <c r="AS497" s="25">
        <f>+(K497*13.95+L497*23.65)*12*30-2665031.47</f>
        <v>22778420.330000002</v>
      </c>
      <c r="AT497" s="127">
        <f t="shared" si="285"/>
        <v>-11424575.622072209</v>
      </c>
      <c r="AU497" s="127"/>
      <c r="AV497" s="127"/>
      <c r="AW497" s="88">
        <f t="shared" si="291"/>
        <v>12074742.508927792</v>
      </c>
      <c r="AX497" s="64"/>
      <c r="AY497" s="64"/>
      <c r="AZ497" s="64">
        <v>3532642.5089277923</v>
      </c>
      <c r="BA497" s="64"/>
      <c r="BB497" s="64">
        <v>0</v>
      </c>
      <c r="BC497" s="64"/>
      <c r="BD497" s="64"/>
      <c r="BE497" s="64">
        <v>8024927.0976</v>
      </c>
      <c r="BF497" s="64"/>
      <c r="BG497" s="64">
        <v>0</v>
      </c>
      <c r="BH497" s="64">
        <v>0</v>
      </c>
      <c r="BI497" s="64">
        <v>0</v>
      </c>
      <c r="BJ497" s="64">
        <v>256263</v>
      </c>
      <c r="BK497" s="65">
        <v>85421</v>
      </c>
      <c r="BL497" s="66">
        <v>175488.90240000002</v>
      </c>
    </row>
    <row r="498" spans="1:64" x14ac:dyDescent="0.25">
      <c r="A498" s="141">
        <f t="shared" si="293"/>
        <v>479</v>
      </c>
      <c r="B498" s="142">
        <f t="shared" si="294"/>
        <v>21</v>
      </c>
      <c r="C498" s="62" t="s">
        <v>82</v>
      </c>
      <c r="D498" s="62" t="s">
        <v>1105</v>
      </c>
      <c r="E498" s="123">
        <v>1983</v>
      </c>
      <c r="F498" s="123">
        <v>2016</v>
      </c>
      <c r="G498" s="123" t="s">
        <v>43</v>
      </c>
      <c r="H498" s="123">
        <v>4</v>
      </c>
      <c r="I498" s="123">
        <v>6</v>
      </c>
      <c r="J498" s="64">
        <v>4031.7</v>
      </c>
      <c r="K498" s="64">
        <v>3532.1</v>
      </c>
      <c r="L498" s="64">
        <v>54.9</v>
      </c>
      <c r="M498" s="124">
        <v>133</v>
      </c>
      <c r="N498" s="95">
        <f>+P498+Q498+R498+S498+T498</f>
        <v>2774182.8301903871</v>
      </c>
      <c r="O498" s="64"/>
      <c r="P498" s="65"/>
      <c r="Q498" s="65"/>
      <c r="R498" s="65">
        <f>+AQ498+AR498</f>
        <v>1943422.02</v>
      </c>
      <c r="S498" s="65">
        <f>+'Приложение №2'!E507-'Приложение №1'!R498</f>
        <v>830760.81019038707</v>
      </c>
      <c r="T498" s="65">
        <v>0</v>
      </c>
      <c r="U498" s="64">
        <f>$N498/($K498+$L498)</f>
        <v>773.39917206311316</v>
      </c>
      <c r="V498" s="64">
        <f>$N498/($K498+$L498)</f>
        <v>773.39917206311316</v>
      </c>
      <c r="W498" s="126">
        <v>2024</v>
      </c>
      <c r="X498" s="127" t="e">
        <f>+#REF!-'[1]Приложение №1'!$P558</f>
        <v>#REF!</v>
      </c>
      <c r="Z498" s="63">
        <f>SUM(AA498:AO498)</f>
        <v>3117059.35976448</v>
      </c>
      <c r="AA498" s="64">
        <v>0</v>
      </c>
      <c r="AB498" s="64">
        <v>0</v>
      </c>
      <c r="AC498" s="64">
        <v>2714815.3176243128</v>
      </c>
      <c r="AD498" s="64">
        <v>0</v>
      </c>
      <c r="AE498" s="64">
        <v>0</v>
      </c>
      <c r="AF498" s="64"/>
      <c r="AG498" s="64">
        <v>0</v>
      </c>
      <c r="AH498" s="64">
        <v>0</v>
      </c>
      <c r="AI498" s="64">
        <v>0</v>
      </c>
      <c r="AJ498" s="64">
        <v>0</v>
      </c>
      <c r="AK498" s="64">
        <v>0</v>
      </c>
      <c r="AL498" s="64">
        <v>0</v>
      </c>
      <c r="AM498" s="64">
        <v>311705.935976448</v>
      </c>
      <c r="AN498" s="65">
        <v>31170.593597644802</v>
      </c>
      <c r="AO498" s="66">
        <v>59367.512566074292</v>
      </c>
      <c r="AP498" s="128">
        <f>+N498-'Приложение №2'!E507</f>
        <v>0</v>
      </c>
      <c r="AQ498" s="23">
        <v>1571948.22</v>
      </c>
      <c r="AR498" s="25">
        <f>+(K498*10+L498*20)*12*0.85</f>
        <v>371473.8</v>
      </c>
      <c r="AS498" s="25">
        <f>+(K498*10+L498*20)*12*30</f>
        <v>13110840</v>
      </c>
      <c r="AT498" s="127">
        <f>+S498-AS498</f>
        <v>-12280079.189809613</v>
      </c>
      <c r="AU498" s="127">
        <f>+P498-'[6]Приложение №1'!$P222</f>
        <v>0</v>
      </c>
      <c r="AV498" s="127">
        <f>+Q498-'[6]Приложение №1'!$Q222</f>
        <v>0</v>
      </c>
      <c r="AW498" s="63">
        <f>SUBTOTAL(9,AX498:BL498)</f>
        <v>2774182.8301903871</v>
      </c>
      <c r="AX498" s="64">
        <v>0</v>
      </c>
      <c r="AY498" s="64">
        <v>0</v>
      </c>
      <c r="AZ498" s="64">
        <v>2714815.3176243128</v>
      </c>
      <c r="BA498" s="64">
        <v>0</v>
      </c>
      <c r="BB498" s="64">
        <v>0</v>
      </c>
      <c r="BC498" s="64"/>
      <c r="BD498" s="64"/>
      <c r="BE498" s="64">
        <v>0</v>
      </c>
      <c r="BF498" s="64">
        <v>0</v>
      </c>
      <c r="BG498" s="64">
        <v>0</v>
      </c>
      <c r="BH498" s="64">
        <v>0</v>
      </c>
      <c r="BI498" s="64">
        <v>0</v>
      </c>
      <c r="BJ498" s="64"/>
      <c r="BK498" s="65"/>
      <c r="BL498" s="66">
        <v>59367.512566074292</v>
      </c>
    </row>
    <row r="499" spans="1:64" x14ac:dyDescent="0.25">
      <c r="A499" s="141">
        <f t="shared" si="293"/>
        <v>480</v>
      </c>
      <c r="B499" s="142">
        <f t="shared" si="294"/>
        <v>22</v>
      </c>
      <c r="C499" s="62" t="s">
        <v>82</v>
      </c>
      <c r="D499" s="62" t="s">
        <v>636</v>
      </c>
      <c r="E499" s="123">
        <v>1986</v>
      </c>
      <c r="F499" s="123">
        <v>2017</v>
      </c>
      <c r="G499" s="123" t="s">
        <v>43</v>
      </c>
      <c r="H499" s="123">
        <v>9</v>
      </c>
      <c r="I499" s="123">
        <v>1</v>
      </c>
      <c r="J499" s="64">
        <v>3148.9</v>
      </c>
      <c r="K499" s="64">
        <v>2686.2</v>
      </c>
      <c r="L499" s="64">
        <v>0</v>
      </c>
      <c r="M499" s="124">
        <v>112</v>
      </c>
      <c r="N499" s="63">
        <f>SUM(O499:T499)</f>
        <v>30154413.509085678</v>
      </c>
      <c r="O499" s="64"/>
      <c r="P499" s="65">
        <v>3488737.6475839727</v>
      </c>
      <c r="Q499" s="65"/>
      <c r="R499" s="65">
        <f t="shared" ref="R499:R513" si="314">+AQ499+AR499</f>
        <v>2267497.5779999997</v>
      </c>
      <c r="S499" s="65">
        <f>+AS499</f>
        <v>13490096.4</v>
      </c>
      <c r="T499" s="65">
        <f>+'Приложение №2'!E508-'Приложение №1'!P499-'Приложение №1'!R499-'Приложение №1'!S499</f>
        <v>10908081.883501707</v>
      </c>
      <c r="U499" s="65">
        <f>N499/K499</f>
        <v>11225.676982013878</v>
      </c>
      <c r="V499" s="65">
        <v>1187.2830200640001</v>
      </c>
      <c r="W499" s="126">
        <v>2024</v>
      </c>
      <c r="X499" s="127" t="e">
        <f>+#REF!-'[1]Приложение №1'!$P1278</f>
        <v>#REF!</v>
      </c>
      <c r="Z499" s="63">
        <f t="shared" si="306"/>
        <v>9697051.4923279285</v>
      </c>
      <c r="AA499" s="64">
        <v>6428049.5552969025</v>
      </c>
      <c r="AB499" s="64">
        <v>0</v>
      </c>
      <c r="AC499" s="64">
        <v>1899550.3606906722</v>
      </c>
      <c r="AD499" s="64">
        <v>0</v>
      </c>
      <c r="AE499" s="64">
        <v>0</v>
      </c>
      <c r="AF499" s="64"/>
      <c r="AG499" s="64">
        <v>285589.26987220609</v>
      </c>
      <c r="AH499" s="64">
        <v>0</v>
      </c>
      <c r="AI499" s="64">
        <v>0</v>
      </c>
      <c r="AJ499" s="64">
        <v>0</v>
      </c>
      <c r="AK499" s="64">
        <v>0</v>
      </c>
      <c r="AL499" s="64">
        <v>0</v>
      </c>
      <c r="AM499" s="64">
        <v>798538.78870673361</v>
      </c>
      <c r="AN499" s="65">
        <v>96970.51492327929</v>
      </c>
      <c r="AO499" s="66">
        <v>188353.00283813541</v>
      </c>
      <c r="AP499" s="128">
        <f>+N499-'Приложение №2'!E508</f>
        <v>0</v>
      </c>
      <c r="AQ499" s="127">
        <f>1885278.18</f>
        <v>1885278.18</v>
      </c>
      <c r="AR499" s="25">
        <f t="shared" si="313"/>
        <v>382219.39799999999</v>
      </c>
      <c r="AS499" s="25">
        <f>+(K499*13.95+L499*23.65)*12*30</f>
        <v>13490096.4</v>
      </c>
      <c r="AT499" s="127">
        <f t="shared" si="285"/>
        <v>0</v>
      </c>
      <c r="AU499" s="127">
        <f>+P499-'[6]Приложение №1'!$P473</f>
        <v>0</v>
      </c>
      <c r="AV499" s="127">
        <f>+Q499-'[6]Приложение №1'!$Q473</f>
        <v>0</v>
      </c>
      <c r="AW499" s="88">
        <f t="shared" si="291"/>
        <v>30154413.509085678</v>
      </c>
      <c r="AX499" s="64">
        <v>7654861.8469105689</v>
      </c>
      <c r="AY499" s="64">
        <v>0</v>
      </c>
      <c r="AZ499" s="64">
        <v>1899550.3606906722</v>
      </c>
      <c r="BA499" s="64">
        <v>0</v>
      </c>
      <c r="BB499" s="64">
        <v>0</v>
      </c>
      <c r="BC499" s="64"/>
      <c r="BD499" s="64">
        <v>341658.25265146937</v>
      </c>
      <c r="BE499" s="64">
        <v>0</v>
      </c>
      <c r="BF499" s="64"/>
      <c r="BG499" s="64">
        <v>0</v>
      </c>
      <c r="BH499" s="64">
        <v>19653688.977457315</v>
      </c>
      <c r="BI499" s="64">
        <v>0</v>
      </c>
      <c r="BJ499" s="64"/>
      <c r="BK499" s="65"/>
      <c r="BL499" s="66">
        <v>604654.07137565326</v>
      </c>
    </row>
    <row r="500" spans="1:64" x14ac:dyDescent="0.25">
      <c r="A500" s="141">
        <f t="shared" si="293"/>
        <v>481</v>
      </c>
      <c r="B500" s="142">
        <f t="shared" si="294"/>
        <v>23</v>
      </c>
      <c r="C500" s="62" t="s">
        <v>82</v>
      </c>
      <c r="D500" s="62" t="s">
        <v>637</v>
      </c>
      <c r="E500" s="123">
        <v>1981</v>
      </c>
      <c r="F500" s="123">
        <v>2010</v>
      </c>
      <c r="G500" s="123" t="s">
        <v>43</v>
      </c>
      <c r="H500" s="123">
        <v>4</v>
      </c>
      <c r="I500" s="123">
        <v>6</v>
      </c>
      <c r="J500" s="64">
        <v>4191.3</v>
      </c>
      <c r="K500" s="64">
        <v>2691</v>
      </c>
      <c r="L500" s="64">
        <v>827.4</v>
      </c>
      <c r="M500" s="124">
        <v>128</v>
      </c>
      <c r="N500" s="95">
        <f>+P500+Q500+R500+S500+T500</f>
        <v>2933317.4926648322</v>
      </c>
      <c r="O500" s="64"/>
      <c r="P500" s="65"/>
      <c r="Q500" s="65"/>
      <c r="R500" s="65">
        <f>+AQ500+AR500</f>
        <v>1960747.23</v>
      </c>
      <c r="S500" s="65">
        <f>+'Приложение №2'!E509-'Приложение №1'!R500</f>
        <v>972570.26266483217</v>
      </c>
      <c r="T500" s="65">
        <v>0</v>
      </c>
      <c r="U500" s="64">
        <f>$N500/($K500+$L500)</f>
        <v>833.70779123034106</v>
      </c>
      <c r="V500" s="64">
        <f>$N500/($K500+$L500)</f>
        <v>833.70779123034106</v>
      </c>
      <c r="W500" s="126">
        <v>2024</v>
      </c>
      <c r="X500" s="127" t="e">
        <f>+#REF!-'[1]Приложение №1'!$P560</f>
        <v>#REF!</v>
      </c>
      <c r="Z500" s="63">
        <f>SUM(AA500:AO500)</f>
        <v>3295862.3513088003</v>
      </c>
      <c r="AA500" s="64">
        <v>0</v>
      </c>
      <c r="AB500" s="64">
        <v>0</v>
      </c>
      <c r="AC500" s="64">
        <v>2870544.4983218047</v>
      </c>
      <c r="AD500" s="64">
        <v>0</v>
      </c>
      <c r="AE500" s="64">
        <v>0</v>
      </c>
      <c r="AF500" s="64"/>
      <c r="AG500" s="64">
        <v>0</v>
      </c>
      <c r="AH500" s="64">
        <v>0</v>
      </c>
      <c r="AI500" s="64">
        <v>0</v>
      </c>
      <c r="AJ500" s="64">
        <v>0</v>
      </c>
      <c r="AK500" s="64">
        <v>0</v>
      </c>
      <c r="AL500" s="64">
        <v>0</v>
      </c>
      <c r="AM500" s="64">
        <v>329586.23513088003</v>
      </c>
      <c r="AN500" s="65">
        <v>32958.623513088001</v>
      </c>
      <c r="AO500" s="66">
        <v>62772.994343027407</v>
      </c>
      <c r="AP500" s="128">
        <f>+N500-'Приложение №2'!E509</f>
        <v>0</v>
      </c>
      <c r="AQ500" s="23">
        <v>1517475.63</v>
      </c>
      <c r="AR500" s="25">
        <f>+(K500*10+L500*20)*12*0.85</f>
        <v>443271.6</v>
      </c>
      <c r="AS500" s="25">
        <f>+(K500*10+L500*20)*12*30</f>
        <v>15644880</v>
      </c>
      <c r="AT500" s="127">
        <f>+S500-AS500</f>
        <v>-14672309.737335168</v>
      </c>
      <c r="AU500" s="127">
        <f>+P500-'[6]Приложение №1'!$P225</f>
        <v>0</v>
      </c>
      <c r="AV500" s="127">
        <f>+Q500-'[6]Приложение №1'!$Q225</f>
        <v>0</v>
      </c>
      <c r="AW500" s="63">
        <f>SUBTOTAL(9,AX500:BL500)</f>
        <v>2933317.4926648322</v>
      </c>
      <c r="AX500" s="64">
        <v>0</v>
      </c>
      <c r="AY500" s="64">
        <v>0</v>
      </c>
      <c r="AZ500" s="64">
        <v>2870544.4983218047</v>
      </c>
      <c r="BA500" s="64">
        <v>0</v>
      </c>
      <c r="BB500" s="64">
        <v>0</v>
      </c>
      <c r="BC500" s="64"/>
      <c r="BD500" s="64"/>
      <c r="BE500" s="64">
        <v>0</v>
      </c>
      <c r="BF500" s="64">
        <v>0</v>
      </c>
      <c r="BG500" s="64">
        <v>0</v>
      </c>
      <c r="BH500" s="64">
        <v>0</v>
      </c>
      <c r="BI500" s="64">
        <v>0</v>
      </c>
      <c r="BJ500" s="64"/>
      <c r="BK500" s="65"/>
      <c r="BL500" s="66">
        <v>62772.994343027407</v>
      </c>
    </row>
    <row r="501" spans="1:64" x14ac:dyDescent="0.25">
      <c r="A501" s="141">
        <f t="shared" si="293"/>
        <v>482</v>
      </c>
      <c r="B501" s="142">
        <f t="shared" si="294"/>
        <v>24</v>
      </c>
      <c r="C501" s="62" t="s">
        <v>82</v>
      </c>
      <c r="D501" s="62" t="s">
        <v>1106</v>
      </c>
      <c r="E501" s="123">
        <v>1980</v>
      </c>
      <c r="F501" s="123">
        <v>2010</v>
      </c>
      <c r="G501" s="123" t="s">
        <v>43</v>
      </c>
      <c r="H501" s="123">
        <v>5</v>
      </c>
      <c r="I501" s="123">
        <v>3</v>
      </c>
      <c r="J501" s="64">
        <v>5185</v>
      </c>
      <c r="K501" s="64">
        <v>4394.2</v>
      </c>
      <c r="L501" s="64">
        <v>0</v>
      </c>
      <c r="M501" s="124">
        <v>182</v>
      </c>
      <c r="N501" s="63">
        <f>SUM(O501:T501)</f>
        <v>15805176.473731067</v>
      </c>
      <c r="O501" s="64"/>
      <c r="P501" s="65"/>
      <c r="Q501" s="65"/>
      <c r="R501" s="65">
        <f t="shared" si="314"/>
        <v>3097180.1399999997</v>
      </c>
      <c r="S501" s="65">
        <f>+'Приложение №2'!E510-'Приложение №1'!R501</f>
        <v>12707996.333731066</v>
      </c>
      <c r="T501" s="65">
        <v>9.3132257461547852E-10</v>
      </c>
      <c r="U501" s="65">
        <f>N501/K501</f>
        <v>3596.8268339472643</v>
      </c>
      <c r="V501" s="65">
        <v>1188.2830200640001</v>
      </c>
      <c r="W501" s="126">
        <v>2024</v>
      </c>
      <c r="X501" s="127" t="e">
        <f>+#REF!-'[1]Приложение №1'!$P562</f>
        <v>#REF!</v>
      </c>
      <c r="Z501" s="63">
        <f t="shared" si="306"/>
        <v>37425881.19748608</v>
      </c>
      <c r="AA501" s="64">
        <v>0</v>
      </c>
      <c r="AB501" s="64">
        <v>0</v>
      </c>
      <c r="AC501" s="64">
        <v>0</v>
      </c>
      <c r="AD501" s="64">
        <v>0</v>
      </c>
      <c r="AE501" s="64">
        <v>0</v>
      </c>
      <c r="AF501" s="64"/>
      <c r="AG501" s="64">
        <v>0</v>
      </c>
      <c r="AH501" s="64">
        <v>0</v>
      </c>
      <c r="AI501" s="64">
        <v>14455410.735332333</v>
      </c>
      <c r="AJ501" s="64">
        <v>0</v>
      </c>
      <c r="AK501" s="64">
        <v>18301425.871979985</v>
      </c>
      <c r="AL501" s="64">
        <v>0</v>
      </c>
      <c r="AM501" s="64">
        <v>3578460.105404621</v>
      </c>
      <c r="AN501" s="65">
        <v>374258.81197486079</v>
      </c>
      <c r="AO501" s="66">
        <v>716325.67279428127</v>
      </c>
      <c r="AP501" s="128">
        <f>+N501-'Приложение №2'!E510</f>
        <v>0</v>
      </c>
      <c r="AQ501" s="38">
        <v>2626561.3199999998</v>
      </c>
      <c r="AR501" s="25">
        <f>+(K501*10.5+L501*21)*12*0.85</f>
        <v>470618.81999999995</v>
      </c>
      <c r="AS501" s="25">
        <f>+(K501*10.5+L501*21)*12*30</f>
        <v>16610075.999999998</v>
      </c>
      <c r="AT501" s="127">
        <f t="shared" si="285"/>
        <v>-3902079.6662689317</v>
      </c>
      <c r="AU501" s="127">
        <f>+P501-'[6]Приложение №1'!$P474</f>
        <v>0</v>
      </c>
      <c r="AV501" s="127">
        <f>+Q501-'[6]Приложение №1'!$Q474</f>
        <v>0</v>
      </c>
      <c r="AW501" s="88">
        <f t="shared" si="291"/>
        <v>15805176.473731067</v>
      </c>
      <c r="AX501" s="64">
        <v>0</v>
      </c>
      <c r="AY501" s="64">
        <v>0</v>
      </c>
      <c r="AZ501" s="64">
        <v>0</v>
      </c>
      <c r="BA501" s="64">
        <v>0</v>
      </c>
      <c r="BB501" s="64">
        <v>0</v>
      </c>
      <c r="BC501" s="64"/>
      <c r="BD501" s="64"/>
      <c r="BE501" s="64">
        <v>0</v>
      </c>
      <c r="BF501" s="64">
        <v>15466945.697193222</v>
      </c>
      <c r="BG501" s="64">
        <v>0</v>
      </c>
      <c r="BH501" s="64"/>
      <c r="BI501" s="64">
        <v>0</v>
      </c>
      <c r="BJ501" s="64"/>
      <c r="BK501" s="65"/>
      <c r="BL501" s="66">
        <v>338230.77653784485</v>
      </c>
    </row>
    <row r="502" spans="1:64" x14ac:dyDescent="0.25">
      <c r="A502" s="141">
        <f t="shared" si="293"/>
        <v>483</v>
      </c>
      <c r="B502" s="142">
        <f t="shared" si="294"/>
        <v>25</v>
      </c>
      <c r="C502" s="62" t="s">
        <v>82</v>
      </c>
      <c r="D502" s="62" t="s">
        <v>1107</v>
      </c>
      <c r="E502" s="123">
        <v>1990</v>
      </c>
      <c r="F502" s="123">
        <v>1990</v>
      </c>
      <c r="G502" s="123" t="s">
        <v>43</v>
      </c>
      <c r="H502" s="123">
        <v>5</v>
      </c>
      <c r="I502" s="123">
        <v>6</v>
      </c>
      <c r="J502" s="64">
        <v>5149.8999999999996</v>
      </c>
      <c r="K502" s="64">
        <v>4605.8</v>
      </c>
      <c r="L502" s="64">
        <v>0</v>
      </c>
      <c r="M502" s="124">
        <v>217</v>
      </c>
      <c r="N502" s="95">
        <f>+P502+Q502+R502+S502+T502</f>
        <v>3942804.3934862674</v>
      </c>
      <c r="O502" s="64"/>
      <c r="P502" s="65"/>
      <c r="Q502" s="65"/>
      <c r="R502" s="65">
        <f>+AQ502+AR502</f>
        <v>1325372.3700000001</v>
      </c>
      <c r="S502" s="65">
        <f>+'Приложение №2'!E511-'Приложение №1'!R502</f>
        <v>2617432.0234862673</v>
      </c>
      <c r="T502" s="65">
        <v>0</v>
      </c>
      <c r="U502" s="64">
        <f>$N502/($K502+$L502)</f>
        <v>856.05201995012101</v>
      </c>
      <c r="V502" s="64">
        <f>$N502/($K502+$L502)</f>
        <v>856.05201995012101</v>
      </c>
      <c r="W502" s="126">
        <v>2024</v>
      </c>
      <c r="X502" s="127" t="e">
        <f>+#REF!-'[1]Приложение №1'!$P917</f>
        <v>#REF!</v>
      </c>
      <c r="Z502" s="63">
        <f>SUM(AA502:AO502)</f>
        <v>23542253.379726686</v>
      </c>
      <c r="AA502" s="64">
        <v>9139483.8463669065</v>
      </c>
      <c r="AB502" s="64">
        <v>3911901.5457636653</v>
      </c>
      <c r="AC502" s="64">
        <v>3492077.6109207738</v>
      </c>
      <c r="AD502" s="64">
        <v>3688350.5075333579</v>
      </c>
      <c r="AE502" s="64">
        <v>0</v>
      </c>
      <c r="AF502" s="64"/>
      <c r="AG502" s="64">
        <v>379458.89215323428</v>
      </c>
      <c r="AH502" s="64">
        <v>0</v>
      </c>
      <c r="AI502" s="64">
        <v>0</v>
      </c>
      <c r="AJ502" s="64">
        <v>0</v>
      </c>
      <c r="AK502" s="64">
        <v>0</v>
      </c>
      <c r="AL502" s="64">
        <v>0</v>
      </c>
      <c r="AM502" s="64">
        <v>2244831.6606259868</v>
      </c>
      <c r="AN502" s="65">
        <v>235422.53379726686</v>
      </c>
      <c r="AO502" s="66">
        <v>450726.78256549343</v>
      </c>
      <c r="AP502" s="128">
        <f>+N502-'Приложение №2'!E511</f>
        <v>0</v>
      </c>
      <c r="AQ502" s="23">
        <f>2264861.1-76133.85-1333146.48</f>
        <v>855580.77</v>
      </c>
      <c r="AR502" s="25">
        <f>+(K502*10+L502*20)*12*0.85</f>
        <v>469791.6</v>
      </c>
      <c r="AS502" s="25">
        <f>+(K502*10+L502*20)*12*30-5321889.99-2719635.2</f>
        <v>8539354.8099999987</v>
      </c>
      <c r="AT502" s="127">
        <f>+S502-AS502</f>
        <v>-5921922.7865137309</v>
      </c>
      <c r="AU502" s="127">
        <f>+P502-'[6]Приложение №1'!$P224</f>
        <v>0</v>
      </c>
      <c r="AV502" s="127">
        <f>+Q502-'[6]Приложение №1'!$Q224</f>
        <v>0</v>
      </c>
      <c r="AW502" s="63">
        <f>SUBTOTAL(9,AX502:BL502)</f>
        <v>3942804.3934862674</v>
      </c>
      <c r="AX502" s="64"/>
      <c r="AY502" s="64"/>
      <c r="AZ502" s="64">
        <v>3492077.6109207738</v>
      </c>
      <c r="BA502" s="64"/>
      <c r="BB502" s="64">
        <v>0</v>
      </c>
      <c r="BC502" s="64"/>
      <c r="BD502" s="64"/>
      <c r="BE502" s="64">
        <v>0</v>
      </c>
      <c r="BF502" s="64">
        <v>0</v>
      </c>
      <c r="BG502" s="64">
        <v>0</v>
      </c>
      <c r="BH502" s="64">
        <v>0</v>
      </c>
      <c r="BI502" s="64">
        <v>0</v>
      </c>
      <c r="BJ502" s="64"/>
      <c r="BK502" s="65"/>
      <c r="BL502" s="66">
        <v>450726.78256549343</v>
      </c>
    </row>
    <row r="503" spans="1:64" x14ac:dyDescent="0.25">
      <c r="A503" s="141">
        <f t="shared" si="293"/>
        <v>484</v>
      </c>
      <c r="B503" s="142">
        <f t="shared" si="294"/>
        <v>26</v>
      </c>
      <c r="C503" s="62" t="s">
        <v>82</v>
      </c>
      <c r="D503" s="62" t="s">
        <v>649</v>
      </c>
      <c r="E503" s="123">
        <v>1992</v>
      </c>
      <c r="F503" s="123">
        <v>2012</v>
      </c>
      <c r="G503" s="123" t="s">
        <v>43</v>
      </c>
      <c r="H503" s="123">
        <v>9</v>
      </c>
      <c r="I503" s="123">
        <v>1</v>
      </c>
      <c r="J503" s="64">
        <v>2846</v>
      </c>
      <c r="K503" s="64">
        <v>2452.1999999999998</v>
      </c>
      <c r="L503" s="64">
        <v>0</v>
      </c>
      <c r="M503" s="124">
        <v>98</v>
      </c>
      <c r="N503" s="65">
        <f t="shared" ref="N503:N510" si="315">+P503+Q503+R503+S503</f>
        <v>4271050</v>
      </c>
      <c r="O503" s="64"/>
      <c r="P503" s="65"/>
      <c r="Q503" s="65"/>
      <c r="R503" s="65">
        <f t="shared" si="314"/>
        <v>2291760.2779999999</v>
      </c>
      <c r="S503" s="65">
        <f>+'Приложение №2'!E512-'Приложение №1'!R503</f>
        <v>1979289.7220000001</v>
      </c>
      <c r="T503" s="64"/>
      <c r="U503" s="65">
        <f>$N503/($K503+$L503)</f>
        <v>1741.7217192724902</v>
      </c>
      <c r="V503" s="65">
        <f>$N503/($K503+$L503)</f>
        <v>1741.7217192724902</v>
      </c>
      <c r="W503" s="126">
        <v>2024</v>
      </c>
      <c r="X503" s="25">
        <f>+N503-'[10]Приложение №2'!E485</f>
        <v>1867270.12</v>
      </c>
      <c r="AD503" s="25">
        <f>+'[10]Прил 2 оконч'!E485-'[10]Приложение №1'!N485</f>
        <v>0</v>
      </c>
      <c r="AP503" s="128">
        <f>+N503-'Приложение №2'!E512</f>
        <v>0</v>
      </c>
      <c r="AQ503" s="23">
        <v>1942836.74</v>
      </c>
      <c r="AR503" s="25">
        <f t="shared" ref="AR503:AR510" si="316">+(K503*13.95+L503*23.65)*12*0.85</f>
        <v>348923.53799999994</v>
      </c>
      <c r="AS503" s="25">
        <f t="shared" ref="AS503:AS510" si="317">+(K503*13.95+L503*23.65)*12*30</f>
        <v>12314948.399999997</v>
      </c>
      <c r="AT503" s="127">
        <f t="shared" si="285"/>
        <v>-10335658.677999996</v>
      </c>
      <c r="AU503" s="127"/>
      <c r="AV503" s="127"/>
      <c r="AW503" s="88">
        <f t="shared" si="291"/>
        <v>4271050</v>
      </c>
      <c r="AX503" s="64">
        <v>0</v>
      </c>
      <c r="AY503" s="64">
        <v>0</v>
      </c>
      <c r="AZ503" s="64">
        <v>0</v>
      </c>
      <c r="BA503" s="64">
        <v>0</v>
      </c>
      <c r="BB503" s="64">
        <v>0</v>
      </c>
      <c r="BC503" s="64"/>
      <c r="BD503" s="64">
        <v>0</v>
      </c>
      <c r="BE503" s="64">
        <v>4012463.5488</v>
      </c>
      <c r="BF503" s="64"/>
      <c r="BG503" s="64">
        <v>0</v>
      </c>
      <c r="BH503" s="64">
        <v>0</v>
      </c>
      <c r="BI503" s="64">
        <v>0</v>
      </c>
      <c r="BJ503" s="64">
        <v>128131.5</v>
      </c>
      <c r="BK503" s="65">
        <v>42710.5</v>
      </c>
      <c r="BL503" s="66">
        <v>87744.45120000001</v>
      </c>
    </row>
    <row r="504" spans="1:64" x14ac:dyDescent="0.25">
      <c r="A504" s="141">
        <f t="shared" si="293"/>
        <v>485</v>
      </c>
      <c r="B504" s="142">
        <f t="shared" si="294"/>
        <v>27</v>
      </c>
      <c r="C504" s="62" t="s">
        <v>82</v>
      </c>
      <c r="D504" s="62" t="s">
        <v>650</v>
      </c>
      <c r="E504" s="123" t="s">
        <v>122</v>
      </c>
      <c r="F504" s="123"/>
      <c r="G504" s="123" t="s">
        <v>43</v>
      </c>
      <c r="H504" s="123" t="s">
        <v>97</v>
      </c>
      <c r="I504" s="123" t="s">
        <v>102</v>
      </c>
      <c r="J504" s="64">
        <v>2946.9</v>
      </c>
      <c r="K504" s="64">
        <v>2343.5</v>
      </c>
      <c r="L504" s="64">
        <v>393.2</v>
      </c>
      <c r="M504" s="124">
        <v>71</v>
      </c>
      <c r="N504" s="65">
        <f t="shared" si="315"/>
        <v>4271050</v>
      </c>
      <c r="O504" s="64"/>
      <c r="P504" s="65"/>
      <c r="Q504" s="65"/>
      <c r="R504" s="65">
        <f t="shared" si="314"/>
        <v>2407883.821</v>
      </c>
      <c r="S504" s="65">
        <f>+'Приложение №2'!E513-'Приложение №1'!R504</f>
        <v>1863166.179</v>
      </c>
      <c r="T504" s="64"/>
      <c r="U504" s="65">
        <f t="shared" ref="U504:V512" si="318">$N504/($K504+$L504)</f>
        <v>1560.6569956516973</v>
      </c>
      <c r="V504" s="65">
        <f t="shared" si="318"/>
        <v>1560.6569956516973</v>
      </c>
      <c r="W504" s="126">
        <v>2024</v>
      </c>
      <c r="X504" s="25"/>
      <c r="AD504" s="25"/>
      <c r="AP504" s="128">
        <f>+N504-'Приложение №2'!E513</f>
        <v>0</v>
      </c>
      <c r="AQ504" s="23">
        <v>1979575.57</v>
      </c>
      <c r="AR504" s="25">
        <f t="shared" si="316"/>
        <v>428308.25099999993</v>
      </c>
      <c r="AS504" s="25">
        <f t="shared" si="317"/>
        <v>15116761.799999999</v>
      </c>
      <c r="AT504" s="127">
        <f t="shared" si="285"/>
        <v>-13253595.620999999</v>
      </c>
      <c r="AU504" s="127"/>
      <c r="AV504" s="127"/>
      <c r="AW504" s="88">
        <f t="shared" si="291"/>
        <v>4271050</v>
      </c>
      <c r="AX504" s="64"/>
      <c r="AY504" s="64"/>
      <c r="AZ504" s="64"/>
      <c r="BA504" s="64"/>
      <c r="BB504" s="64"/>
      <c r="BC504" s="64"/>
      <c r="BD504" s="64"/>
      <c r="BE504" s="64">
        <v>4012463.5488</v>
      </c>
      <c r="BF504" s="64"/>
      <c r="BG504" s="64"/>
      <c r="BH504" s="64"/>
      <c r="BI504" s="64"/>
      <c r="BJ504" s="64">
        <v>128131.5</v>
      </c>
      <c r="BK504" s="65">
        <v>42710.5</v>
      </c>
      <c r="BL504" s="66">
        <v>87744.45120000001</v>
      </c>
    </row>
    <row r="505" spans="1:64" x14ac:dyDescent="0.25">
      <c r="A505" s="141">
        <f t="shared" si="293"/>
        <v>486</v>
      </c>
      <c r="B505" s="142">
        <f t="shared" si="294"/>
        <v>28</v>
      </c>
      <c r="C505" s="62" t="s">
        <v>82</v>
      </c>
      <c r="D505" s="62" t="s">
        <v>1108</v>
      </c>
      <c r="E505" s="123" t="s">
        <v>122</v>
      </c>
      <c r="F505" s="123"/>
      <c r="G505" s="123" t="s">
        <v>43</v>
      </c>
      <c r="H505" s="123" t="s">
        <v>97</v>
      </c>
      <c r="I505" s="123" t="s">
        <v>98</v>
      </c>
      <c r="J505" s="64">
        <v>5832.9</v>
      </c>
      <c r="K505" s="64">
        <v>4738.3999999999996</v>
      </c>
      <c r="L505" s="64">
        <v>801.3</v>
      </c>
      <c r="M505" s="124">
        <v>154</v>
      </c>
      <c r="N505" s="65">
        <f t="shared" si="315"/>
        <v>8542100</v>
      </c>
      <c r="O505" s="64"/>
      <c r="P505" s="65"/>
      <c r="Q505" s="65"/>
      <c r="R505" s="65">
        <f t="shared" si="314"/>
        <v>4830594.4249999998</v>
      </c>
      <c r="S505" s="65">
        <f>+'Приложение №2'!E514-'Приложение №1'!R505</f>
        <v>3711505.5750000002</v>
      </c>
      <c r="T505" s="65"/>
      <c r="U505" s="65">
        <f t="shared" si="318"/>
        <v>1541.9788075166525</v>
      </c>
      <c r="V505" s="65">
        <f t="shared" si="318"/>
        <v>1541.9788075166525</v>
      </c>
      <c r="W505" s="126">
        <v>2024</v>
      </c>
      <c r="X505" s="127"/>
      <c r="Z505" s="63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  <c r="AN505" s="65"/>
      <c r="AO505" s="66"/>
      <c r="AP505" s="128">
        <f>+N505-'Приложение №2'!E514</f>
        <v>0</v>
      </c>
      <c r="AQ505" s="23">
        <v>3963069.89</v>
      </c>
      <c r="AR505" s="25">
        <f t="shared" si="316"/>
        <v>867524.53499999992</v>
      </c>
      <c r="AS505" s="25">
        <f t="shared" si="317"/>
        <v>30618512.999999996</v>
      </c>
      <c r="AT505" s="127">
        <f t="shared" si="285"/>
        <v>-26907007.424999997</v>
      </c>
      <c r="AU505" s="127"/>
      <c r="AV505" s="127"/>
      <c r="AW505" s="88">
        <f t="shared" si="291"/>
        <v>8542100</v>
      </c>
      <c r="AX505" s="64"/>
      <c r="AY505" s="64"/>
      <c r="AZ505" s="64"/>
      <c r="BA505" s="64"/>
      <c r="BB505" s="64"/>
      <c r="BC505" s="64"/>
      <c r="BD505" s="64"/>
      <c r="BE505" s="64">
        <v>8024927.0976</v>
      </c>
      <c r="BF505" s="64"/>
      <c r="BG505" s="64"/>
      <c r="BH505" s="64"/>
      <c r="BI505" s="64"/>
      <c r="BJ505" s="64">
        <v>256263</v>
      </c>
      <c r="BK505" s="65">
        <v>85421</v>
      </c>
      <c r="BL505" s="66">
        <v>175488.90240000002</v>
      </c>
    </row>
    <row r="506" spans="1:64" x14ac:dyDescent="0.25">
      <c r="A506" s="141">
        <f t="shared" si="293"/>
        <v>487</v>
      </c>
      <c r="B506" s="142">
        <f t="shared" si="294"/>
        <v>29</v>
      </c>
      <c r="C506" s="62" t="s">
        <v>82</v>
      </c>
      <c r="D506" s="62" t="s">
        <v>1109</v>
      </c>
      <c r="E506" s="123" t="s">
        <v>126</v>
      </c>
      <c r="F506" s="123"/>
      <c r="G506" s="123" t="s">
        <v>43</v>
      </c>
      <c r="H506" s="123" t="s">
        <v>97</v>
      </c>
      <c r="I506" s="123" t="s">
        <v>102</v>
      </c>
      <c r="J506" s="64">
        <v>3327.1</v>
      </c>
      <c r="K506" s="64">
        <v>2700.2</v>
      </c>
      <c r="L506" s="64">
        <v>127.1</v>
      </c>
      <c r="M506" s="124">
        <v>93</v>
      </c>
      <c r="N506" s="65">
        <f t="shared" si="315"/>
        <v>4271050</v>
      </c>
      <c r="O506" s="64"/>
      <c r="P506" s="65"/>
      <c r="Q506" s="65"/>
      <c r="R506" s="65">
        <f t="shared" si="314"/>
        <v>2747959.4910000004</v>
      </c>
      <c r="S506" s="65">
        <f>+'Приложение №2'!E515-'Приложение №1'!R506</f>
        <v>1523090.5089999996</v>
      </c>
      <c r="T506" s="65"/>
      <c r="U506" s="65">
        <f t="shared" si="318"/>
        <v>1510.6461995543452</v>
      </c>
      <c r="V506" s="65">
        <f t="shared" si="318"/>
        <v>1510.6461995543452</v>
      </c>
      <c r="W506" s="126">
        <v>2024</v>
      </c>
      <c r="X506" s="127"/>
      <c r="Z506" s="63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  <c r="AN506" s="65"/>
      <c r="AO506" s="66"/>
      <c r="AP506" s="128">
        <f>+N506-'Приложение №2'!E515</f>
        <v>0</v>
      </c>
      <c r="AQ506" s="23">
        <v>2333087.7000000002</v>
      </c>
      <c r="AR506" s="25">
        <f t="shared" si="316"/>
        <v>414871.79099999997</v>
      </c>
      <c r="AS506" s="25">
        <f t="shared" si="317"/>
        <v>14642533.799999999</v>
      </c>
      <c r="AT506" s="127">
        <f t="shared" si="285"/>
        <v>-13119443.290999999</v>
      </c>
      <c r="AU506" s="127"/>
      <c r="AV506" s="127"/>
      <c r="AW506" s="88">
        <f t="shared" si="291"/>
        <v>4271050</v>
      </c>
      <c r="AX506" s="64"/>
      <c r="AY506" s="64"/>
      <c r="AZ506" s="64"/>
      <c r="BA506" s="64"/>
      <c r="BB506" s="64"/>
      <c r="BC506" s="64"/>
      <c r="BD506" s="64"/>
      <c r="BE506" s="64">
        <v>4012463.5488</v>
      </c>
      <c r="BF506" s="64"/>
      <c r="BG506" s="64"/>
      <c r="BH506" s="64"/>
      <c r="BI506" s="64"/>
      <c r="BJ506" s="64">
        <v>128131.5</v>
      </c>
      <c r="BK506" s="65">
        <v>42710.5</v>
      </c>
      <c r="BL506" s="66">
        <v>87744.45120000001</v>
      </c>
    </row>
    <row r="507" spans="1:64" x14ac:dyDescent="0.25">
      <c r="A507" s="141">
        <f t="shared" si="293"/>
        <v>488</v>
      </c>
      <c r="B507" s="142">
        <f t="shared" si="294"/>
        <v>30</v>
      </c>
      <c r="C507" s="62" t="s">
        <v>82</v>
      </c>
      <c r="D507" s="62" t="s">
        <v>998</v>
      </c>
      <c r="E507" s="123">
        <v>1990</v>
      </c>
      <c r="F507" s="123">
        <v>2017</v>
      </c>
      <c r="G507" s="123" t="s">
        <v>43</v>
      </c>
      <c r="H507" s="123">
        <v>10</v>
      </c>
      <c r="I507" s="123">
        <v>3</v>
      </c>
      <c r="J507" s="64">
        <v>10664.8</v>
      </c>
      <c r="K507" s="64">
        <v>8965.7000000000007</v>
      </c>
      <c r="L507" s="64">
        <v>241.2</v>
      </c>
      <c r="M507" s="124">
        <v>365</v>
      </c>
      <c r="N507" s="95">
        <f t="shared" ref="N507" si="319">+P507+Q507+R507+S507+T507</f>
        <v>6651991.1786065921</v>
      </c>
      <c r="O507" s="64"/>
      <c r="P507" s="65"/>
      <c r="Q507" s="65"/>
      <c r="R507" s="65">
        <f>+'Приложение №2'!E516</f>
        <v>6651991.1786065921</v>
      </c>
      <c r="S507" s="65"/>
      <c r="T507" s="65">
        <v>4.6566128730773926E-10</v>
      </c>
      <c r="U507" s="65">
        <f t="shared" si="318"/>
        <v>722.50064393081175</v>
      </c>
      <c r="V507" s="65">
        <f t="shared" si="318"/>
        <v>722.50064393081175</v>
      </c>
      <c r="W507" s="126">
        <v>2024</v>
      </c>
      <c r="X507" s="127" t="e">
        <f>+#REF!-'[1]Приложение №1'!$P1176</f>
        <v>#REF!</v>
      </c>
      <c r="Z507" s="63">
        <f t="shared" ref="Z507" si="320">SUM(AA507:AO507)</f>
        <v>17451465.54755237</v>
      </c>
      <c r="AA507" s="64"/>
      <c r="AB507" s="64"/>
      <c r="AC507" s="64">
        <v>6509638.5673844106</v>
      </c>
      <c r="AD507" s="64">
        <v>4159957.4733218304</v>
      </c>
      <c r="AE507" s="64">
        <v>0</v>
      </c>
      <c r="AF507" s="64"/>
      <c r="AG507" s="64">
        <v>978696.30838074186</v>
      </c>
      <c r="AH507" s="64">
        <v>0</v>
      </c>
      <c r="AI507" s="64">
        <v>0</v>
      </c>
      <c r="AJ507" s="64">
        <v>0</v>
      </c>
      <c r="AK507" s="64">
        <v>0</v>
      </c>
      <c r="AL507" s="64">
        <v>0</v>
      </c>
      <c r="AM507" s="64">
        <v>4391061.0735815065</v>
      </c>
      <c r="AN507" s="65">
        <v>482934.91690454783</v>
      </c>
      <c r="AO507" s="66">
        <v>929177.20797933068</v>
      </c>
      <c r="AP507" s="128">
        <f>+N507-'Приложение №2'!E516</f>
        <v>0</v>
      </c>
      <c r="AQ507" s="127">
        <f>6040448.13-R30</f>
        <v>5511413.1500000004</v>
      </c>
      <c r="AR507" s="25">
        <f>+(K507*13.29+L507*22.52)*12*0.85</f>
        <v>1270776.9653999999</v>
      </c>
      <c r="AS507" s="25">
        <f>+(K507*13.29+L507*22.52)*12*30-11155353.44</f>
        <v>33695598.280000001</v>
      </c>
      <c r="AT507" s="127">
        <f t="shared" ref="AT507" si="321">+S507-AS507</f>
        <v>-33695598.280000001</v>
      </c>
      <c r="AU507" s="127">
        <f>+P507-'[6]Приложение №1'!$P232</f>
        <v>0</v>
      </c>
      <c r="AV507" s="127">
        <f>+Q507-'[6]Приложение №1'!$Q232</f>
        <v>0</v>
      </c>
      <c r="AW507" s="63">
        <f t="shared" si="291"/>
        <v>6651991.1786065921</v>
      </c>
      <c r="AX507" s="64"/>
      <c r="AY507" s="64"/>
      <c r="AZ507" s="64">
        <v>6509638.5673844106</v>
      </c>
      <c r="BA507" s="64"/>
      <c r="BB507" s="64"/>
      <c r="BC507" s="64"/>
      <c r="BD507" s="64"/>
      <c r="BE507" s="64">
        <v>0</v>
      </c>
      <c r="BF507" s="64">
        <v>0</v>
      </c>
      <c r="BG507" s="64">
        <v>0</v>
      </c>
      <c r="BH507" s="64">
        <v>0</v>
      </c>
      <c r="BI507" s="64">
        <v>0</v>
      </c>
      <c r="BJ507" s="64"/>
      <c r="BK507" s="65"/>
      <c r="BL507" s="66">
        <v>142352.61122218109</v>
      </c>
    </row>
    <row r="508" spans="1:64" x14ac:dyDescent="0.25">
      <c r="A508" s="141">
        <f t="shared" si="293"/>
        <v>489</v>
      </c>
      <c r="B508" s="142">
        <f t="shared" si="294"/>
        <v>31</v>
      </c>
      <c r="C508" s="62" t="s">
        <v>82</v>
      </c>
      <c r="D508" s="62" t="s">
        <v>651</v>
      </c>
      <c r="E508" s="123">
        <v>1985</v>
      </c>
      <c r="F508" s="123">
        <v>2011</v>
      </c>
      <c r="G508" s="123" t="s">
        <v>43</v>
      </c>
      <c r="H508" s="123">
        <v>9</v>
      </c>
      <c r="I508" s="123">
        <v>3</v>
      </c>
      <c r="J508" s="64">
        <v>8800.5</v>
      </c>
      <c r="K508" s="64">
        <v>6909.1</v>
      </c>
      <c r="L508" s="64">
        <v>362.5</v>
      </c>
      <c r="M508" s="124">
        <v>269</v>
      </c>
      <c r="N508" s="65">
        <f t="shared" si="315"/>
        <v>12813150</v>
      </c>
      <c r="O508" s="64"/>
      <c r="P508" s="65"/>
      <c r="Q508" s="65"/>
      <c r="R508" s="65">
        <f t="shared" si="314"/>
        <v>6354952.0840000007</v>
      </c>
      <c r="S508" s="65">
        <f>+'Приложение №2'!E517-'Приложение №1'!R508</f>
        <v>6458197.9159999993</v>
      </c>
      <c r="T508" s="65">
        <v>0</v>
      </c>
      <c r="U508" s="65">
        <f t="shared" si="318"/>
        <v>1762.0812475933769</v>
      </c>
      <c r="V508" s="65">
        <f t="shared" si="318"/>
        <v>1762.0812475933769</v>
      </c>
      <c r="W508" s="126">
        <v>2024</v>
      </c>
      <c r="X508" s="127"/>
      <c r="Z508" s="63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  <c r="AN508" s="65"/>
      <c r="AO508" s="66"/>
      <c r="AP508" s="128">
        <f>+N508-'Приложение №2'!E517</f>
        <v>0</v>
      </c>
      <c r="AQ508" s="38">
        <v>5284410.37</v>
      </c>
      <c r="AR508" s="25">
        <f t="shared" si="316"/>
        <v>1070541.7140000002</v>
      </c>
      <c r="AS508" s="25">
        <f t="shared" si="317"/>
        <v>37783825.200000003</v>
      </c>
      <c r="AT508" s="127">
        <f t="shared" si="285"/>
        <v>-31325627.284000002</v>
      </c>
      <c r="AU508" s="127">
        <f>+P508-'[6]Приложение №1'!$P476</f>
        <v>0</v>
      </c>
      <c r="AV508" s="127">
        <f>+Q508-'[6]Приложение №1'!$Q476</f>
        <v>0</v>
      </c>
      <c r="AW508" s="88">
        <f t="shared" si="291"/>
        <v>12813150</v>
      </c>
      <c r="AX508" s="64"/>
      <c r="AY508" s="64"/>
      <c r="AZ508" s="64"/>
      <c r="BA508" s="64"/>
      <c r="BB508" s="64"/>
      <c r="BC508" s="64"/>
      <c r="BD508" s="64"/>
      <c r="BE508" s="64">
        <v>12037390.646400001</v>
      </c>
      <c r="BF508" s="64"/>
      <c r="BG508" s="64"/>
      <c r="BH508" s="64"/>
      <c r="BI508" s="64"/>
      <c r="BJ508" s="64">
        <v>384394.5</v>
      </c>
      <c r="BK508" s="65">
        <v>128131.5</v>
      </c>
      <c r="BL508" s="66">
        <v>263233.35360000003</v>
      </c>
    </row>
    <row r="509" spans="1:64" x14ac:dyDescent="0.25">
      <c r="A509" s="141">
        <f t="shared" si="293"/>
        <v>490</v>
      </c>
      <c r="B509" s="142">
        <f t="shared" si="294"/>
        <v>32</v>
      </c>
      <c r="C509" s="62" t="s">
        <v>82</v>
      </c>
      <c r="D509" s="62" t="s">
        <v>630</v>
      </c>
      <c r="E509" s="123">
        <v>1990</v>
      </c>
      <c r="F509" s="123">
        <v>2017</v>
      </c>
      <c r="G509" s="123" t="s">
        <v>43</v>
      </c>
      <c r="H509" s="123">
        <v>9</v>
      </c>
      <c r="I509" s="123">
        <v>1</v>
      </c>
      <c r="J509" s="64">
        <v>4531.3</v>
      </c>
      <c r="K509" s="64">
        <v>3818.4</v>
      </c>
      <c r="L509" s="64">
        <v>61.2</v>
      </c>
      <c r="M509" s="124">
        <v>144</v>
      </c>
      <c r="N509" s="95">
        <f>+P509+Q509+R509+S509+T509</f>
        <v>6643105.830502918</v>
      </c>
      <c r="O509" s="64"/>
      <c r="P509" s="65"/>
      <c r="Q509" s="65"/>
      <c r="R509" s="65">
        <f>+AQ509+AR509</f>
        <v>1443415.5630734027</v>
      </c>
      <c r="S509" s="65">
        <f>+'Приложение №2'!E518-'Приложение №1'!R509</f>
        <v>5199690.2674295157</v>
      </c>
      <c r="T509" s="65">
        <v>1.1641532182693481E-10</v>
      </c>
      <c r="U509" s="65">
        <f t="shared" si="318"/>
        <v>1712.3172055116295</v>
      </c>
      <c r="V509" s="65">
        <f t="shared" si="318"/>
        <v>1712.3172055116295</v>
      </c>
      <c r="W509" s="126">
        <v>2024</v>
      </c>
      <c r="X509" s="127" t="e">
        <f>+#REF!-'[1]Приложение №1'!$P1172</f>
        <v>#REF!</v>
      </c>
      <c r="Z509" s="63">
        <f>SUM(AA509:AO509)</f>
        <v>27882965.040892042</v>
      </c>
      <c r="AA509" s="64">
        <v>9323379.5626275707</v>
      </c>
      <c r="AB509" s="64">
        <v>3730241.0353664667</v>
      </c>
      <c r="AC509" s="64">
        <v>2755148.176549369</v>
      </c>
      <c r="AD509" s="64">
        <v>1760665.9922058834</v>
      </c>
      <c r="AE509" s="64">
        <v>0</v>
      </c>
      <c r="AF509" s="64"/>
      <c r="AG509" s="64">
        <v>414224.74097732303</v>
      </c>
      <c r="AH509" s="64">
        <v>0</v>
      </c>
      <c r="AI509" s="64">
        <v>0</v>
      </c>
      <c r="AJ509" s="64">
        <v>6482652.3339526588</v>
      </c>
      <c r="AK509" s="64">
        <v>0</v>
      </c>
      <c r="AL509" s="64">
        <v>0</v>
      </c>
      <c r="AM509" s="64">
        <v>2602794.861483254</v>
      </c>
      <c r="AN509" s="65">
        <v>278829.65040892042</v>
      </c>
      <c r="AO509" s="66">
        <v>535028.68732059724</v>
      </c>
      <c r="AP509" s="128">
        <f>+N509-'Приложение №2'!E518</f>
        <v>0</v>
      </c>
      <c r="AQ509" s="127">
        <f>1031818.0268-R31</f>
        <v>911743.01107340283</v>
      </c>
      <c r="AR509" s="25">
        <f>+(K509*13.29+L509*22.52)*12*0.85</f>
        <v>531672.55200000003</v>
      </c>
      <c r="AS509" s="25">
        <f>+(K509*13.29+L509*22.52)*12*30-6069421.82-'[2]Приложение №1'!$S$83</f>
        <v>12442831.953200001</v>
      </c>
      <c r="AT509" s="127">
        <f>+S509-AS509</f>
        <v>-7243141.6857704856</v>
      </c>
      <c r="AU509" s="127">
        <f>+P509-'[6]Приложение №1'!$P227</f>
        <v>0</v>
      </c>
      <c r="AV509" s="127">
        <f>+Q509-'[6]Приложение №1'!$Q227</f>
        <v>0</v>
      </c>
      <c r="AW509" s="63">
        <f>SUBTOTAL(9,AX509:BL509)</f>
        <v>6643105.8305029189</v>
      </c>
      <c r="AX509" s="64"/>
      <c r="AY509" s="64"/>
      <c r="AZ509" s="64">
        <v>6582856.3200000003</v>
      </c>
      <c r="BA509" s="64"/>
      <c r="BB509" s="64"/>
      <c r="BC509" s="64"/>
      <c r="BD509" s="64"/>
      <c r="BE509" s="64">
        <v>0</v>
      </c>
      <c r="BF509" s="64">
        <v>0</v>
      </c>
      <c r="BG509" s="64"/>
      <c r="BH509" s="64">
        <v>0</v>
      </c>
      <c r="BI509" s="64">
        <v>0</v>
      </c>
      <c r="BJ509" s="64"/>
      <c r="BK509" s="65"/>
      <c r="BL509" s="66">
        <v>60249.510502918965</v>
      </c>
    </row>
    <row r="510" spans="1:64" x14ac:dyDescent="0.25">
      <c r="A510" s="141">
        <f t="shared" si="293"/>
        <v>491</v>
      </c>
      <c r="B510" s="142">
        <f t="shared" si="294"/>
        <v>33</v>
      </c>
      <c r="C510" s="62" t="s">
        <v>82</v>
      </c>
      <c r="D510" s="62" t="s">
        <v>1110</v>
      </c>
      <c r="E510" s="123" t="s">
        <v>126</v>
      </c>
      <c r="F510" s="123"/>
      <c r="G510" s="123" t="s">
        <v>43</v>
      </c>
      <c r="H510" s="123" t="s">
        <v>97</v>
      </c>
      <c r="I510" s="123" t="s">
        <v>102</v>
      </c>
      <c r="J510" s="64">
        <v>3391</v>
      </c>
      <c r="K510" s="64">
        <v>2799.1</v>
      </c>
      <c r="L510" s="64">
        <v>0</v>
      </c>
      <c r="M510" s="124">
        <v>93</v>
      </c>
      <c r="N510" s="65">
        <f t="shared" si="315"/>
        <v>4271050</v>
      </c>
      <c r="O510" s="64"/>
      <c r="P510" s="65"/>
      <c r="Q510" s="65"/>
      <c r="R510" s="65">
        <f t="shared" si="314"/>
        <v>2518896.1189999999</v>
      </c>
      <c r="S510" s="65">
        <f>+'Приложение №2'!E519-'Приложение №1'!R510</f>
        <v>1752153.8810000001</v>
      </c>
      <c r="T510" s="65"/>
      <c r="U510" s="65">
        <f t="shared" si="318"/>
        <v>1525.8654567539568</v>
      </c>
      <c r="V510" s="65">
        <f t="shared" si="318"/>
        <v>1525.8654567539568</v>
      </c>
      <c r="W510" s="126">
        <v>2024</v>
      </c>
      <c r="X510" s="127"/>
      <c r="Z510" s="63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5"/>
      <c r="AO510" s="66"/>
      <c r="AP510" s="128">
        <f>+N510-'Приложение №2'!E519</f>
        <v>0</v>
      </c>
      <c r="AQ510" s="23">
        <v>2120612.1800000002</v>
      </c>
      <c r="AR510" s="25">
        <f t="shared" si="316"/>
        <v>398283.93899999995</v>
      </c>
      <c r="AS510" s="25">
        <f t="shared" si="317"/>
        <v>14057080.199999999</v>
      </c>
      <c r="AT510" s="127">
        <f t="shared" si="285"/>
        <v>-12304926.318999998</v>
      </c>
      <c r="AU510" s="127"/>
      <c r="AV510" s="127"/>
      <c r="AW510" s="88">
        <f t="shared" si="291"/>
        <v>4271050</v>
      </c>
      <c r="AX510" s="64"/>
      <c r="AY510" s="64"/>
      <c r="AZ510" s="64"/>
      <c r="BA510" s="64"/>
      <c r="BB510" s="64"/>
      <c r="BC510" s="64"/>
      <c r="BD510" s="64"/>
      <c r="BE510" s="64">
        <v>4012463.5488</v>
      </c>
      <c r="BF510" s="64"/>
      <c r="BG510" s="64"/>
      <c r="BH510" s="64"/>
      <c r="BI510" s="64"/>
      <c r="BJ510" s="64">
        <v>128131.5</v>
      </c>
      <c r="BK510" s="65">
        <v>42710.5</v>
      </c>
      <c r="BL510" s="66">
        <v>87744.45120000001</v>
      </c>
    </row>
    <row r="511" spans="1:64" x14ac:dyDescent="0.25">
      <c r="A511" s="141">
        <f t="shared" si="293"/>
        <v>492</v>
      </c>
      <c r="B511" s="142">
        <f t="shared" si="294"/>
        <v>34</v>
      </c>
      <c r="C511" s="62" t="s">
        <v>82</v>
      </c>
      <c r="D511" s="62" t="s">
        <v>1111</v>
      </c>
      <c r="E511" s="123">
        <v>1984</v>
      </c>
      <c r="F511" s="123">
        <v>2016</v>
      </c>
      <c r="G511" s="123" t="s">
        <v>43</v>
      </c>
      <c r="H511" s="123">
        <v>5</v>
      </c>
      <c r="I511" s="123">
        <v>3</v>
      </c>
      <c r="J511" s="64">
        <v>5122</v>
      </c>
      <c r="K511" s="64">
        <v>4380.8500000000004</v>
      </c>
      <c r="L511" s="64">
        <v>19</v>
      </c>
      <c r="M511" s="124">
        <v>187</v>
      </c>
      <c r="N511" s="95">
        <f>+P511+Q511+R511+S511+T511</f>
        <v>5085565.8713689661</v>
      </c>
      <c r="O511" s="64"/>
      <c r="P511" s="65">
        <v>2375276.4681759998</v>
      </c>
      <c r="Q511" s="65"/>
      <c r="R511" s="65">
        <f>+AQ511+AR511</f>
        <v>2523266.9500000002</v>
      </c>
      <c r="S511" s="65">
        <f>+'Приложение №2'!E520-'Приложение №1'!P511-'Приложение №1'!Q511-'Приложение №1'!R511</f>
        <v>187022.45319296606</v>
      </c>
      <c r="T511" s="65">
        <f>+'Приложение №2'!E520-'Приложение №1'!P511-'Приложение №1'!Q511-'Приложение №1'!R511-'Приложение №1'!S511</f>
        <v>0</v>
      </c>
      <c r="U511" s="65">
        <f t="shared" si="318"/>
        <v>1155.8498292825814</v>
      </c>
      <c r="V511" s="65">
        <f t="shared" si="318"/>
        <v>1155.8498292825814</v>
      </c>
      <c r="W511" s="126">
        <v>2024</v>
      </c>
      <c r="X511" s="127" t="e">
        <f>+#REF!-'[1]Приложение №1'!$P1115</f>
        <v>#REF!</v>
      </c>
      <c r="Z511" s="63">
        <f t="shared" ref="Z511" si="322">SUM(AA511:AO511)</f>
        <v>20776720.738175999</v>
      </c>
      <c r="AA511" s="64">
        <v>0</v>
      </c>
      <c r="AB511" s="64">
        <v>0</v>
      </c>
      <c r="AC511" s="64">
        <v>0</v>
      </c>
      <c r="AD511" s="64">
        <v>0</v>
      </c>
      <c r="AE511" s="64">
        <v>0</v>
      </c>
      <c r="AF511" s="64"/>
      <c r="AG511" s="64">
        <v>0</v>
      </c>
      <c r="AH511" s="64">
        <v>0</v>
      </c>
      <c r="AI511" s="64">
        <v>0</v>
      </c>
      <c r="AJ511" s="64">
        <v>0</v>
      </c>
      <c r="AK511" s="64">
        <v>20147945.946807034</v>
      </c>
      <c r="AL511" s="64">
        <v>0</v>
      </c>
      <c r="AM511" s="64">
        <v>164180.01999999999</v>
      </c>
      <c r="AN511" s="64">
        <v>24000</v>
      </c>
      <c r="AO511" s="66">
        <v>440594.77136896638</v>
      </c>
      <c r="AP511" s="128">
        <f>+N511-'Приложение №2'!E520</f>
        <v>0</v>
      </c>
      <c r="AQ511" s="23">
        <v>2072544.25</v>
      </c>
      <c r="AR511" s="25">
        <f>+(K511*10+L511*20)*12*0.85</f>
        <v>450722.7</v>
      </c>
      <c r="AS511" s="25">
        <f>+(K511*10+L511*20)*12*30</f>
        <v>15907860</v>
      </c>
      <c r="AT511" s="127">
        <f>+S511-AS511</f>
        <v>-15720837.546807034</v>
      </c>
      <c r="AU511" s="127">
        <f>+P511-'[6]Приложение №1'!$P228</f>
        <v>0</v>
      </c>
      <c r="AV511" s="127">
        <f>+Q511-'[6]Приложение №1'!$Q228</f>
        <v>0</v>
      </c>
      <c r="AW511" s="63">
        <f>SUBTOTAL(9,AX511:BL511)</f>
        <v>5085565.8713689661</v>
      </c>
      <c r="AX511" s="64">
        <v>0</v>
      </c>
      <c r="AY511" s="64">
        <v>0</v>
      </c>
      <c r="AZ511" s="64">
        <v>0</v>
      </c>
      <c r="BA511" s="64">
        <v>0</v>
      </c>
      <c r="BB511" s="64">
        <v>0</v>
      </c>
      <c r="BC511" s="64"/>
      <c r="BD511" s="64"/>
      <c r="BE511" s="64">
        <v>0</v>
      </c>
      <c r="BF511" s="64">
        <v>0</v>
      </c>
      <c r="BG511" s="64">
        <v>0</v>
      </c>
      <c r="BH511" s="64">
        <v>4644971.0999999996</v>
      </c>
      <c r="BI511" s="64">
        <v>0</v>
      </c>
      <c r="BJ511" s="71"/>
      <c r="BK511" s="71"/>
      <c r="BL511" s="66">
        <v>440594.77136896638</v>
      </c>
    </row>
    <row r="512" spans="1:64" x14ac:dyDescent="0.25">
      <c r="A512" s="141">
        <f t="shared" si="293"/>
        <v>493</v>
      </c>
      <c r="B512" s="142">
        <f t="shared" si="294"/>
        <v>35</v>
      </c>
      <c r="C512" s="62" t="s">
        <v>82</v>
      </c>
      <c r="D512" s="62" t="s">
        <v>1112</v>
      </c>
      <c r="E512" s="123">
        <v>1986</v>
      </c>
      <c r="F512" s="123">
        <v>2017</v>
      </c>
      <c r="G512" s="123" t="s">
        <v>43</v>
      </c>
      <c r="H512" s="123">
        <v>5</v>
      </c>
      <c r="I512" s="123">
        <v>4</v>
      </c>
      <c r="J512" s="64">
        <v>5725</v>
      </c>
      <c r="K512" s="64">
        <v>4812.8</v>
      </c>
      <c r="L512" s="64">
        <v>0</v>
      </c>
      <c r="M512" s="124">
        <v>190</v>
      </c>
      <c r="N512" s="63">
        <f t="shared" ref="N512:N544" si="323">SUM(O512:T512)</f>
        <v>21644856.846778177</v>
      </c>
      <c r="O512" s="64"/>
      <c r="P512" s="65"/>
      <c r="Q512" s="65"/>
      <c r="R512" s="65">
        <f t="shared" si="314"/>
        <v>3499339.1</v>
      </c>
      <c r="S512" s="65">
        <f>+'Приложение №2'!E521-'Приложение №1'!R512</f>
        <v>18145517.746778175</v>
      </c>
      <c r="T512" s="65">
        <v>0</v>
      </c>
      <c r="U512" s="65">
        <f t="shared" si="318"/>
        <v>4497.3522371131512</v>
      </c>
      <c r="V512" s="65">
        <f t="shared" si="318"/>
        <v>4497.3522371131512</v>
      </c>
      <c r="W512" s="126">
        <v>2024</v>
      </c>
      <c r="X512" s="127" t="e">
        <f>+#REF!-'[1]Приложение №1'!$P925</f>
        <v>#REF!</v>
      </c>
      <c r="Z512" s="63">
        <f>SUM(AA512:AO512)</f>
        <v>15251119.821010942</v>
      </c>
      <c r="AA512" s="64">
        <v>9517364.6367539484</v>
      </c>
      <c r="AB512" s="64">
        <v>0</v>
      </c>
      <c r="AC512" s="64">
        <v>0</v>
      </c>
      <c r="AD512" s="64">
        <v>3840848.923028145</v>
      </c>
      <c r="AE512" s="64">
        <v>0</v>
      </c>
      <c r="AF512" s="64"/>
      <c r="AG512" s="64">
        <v>0</v>
      </c>
      <c r="AH512" s="64">
        <v>0</v>
      </c>
      <c r="AI512" s="64">
        <v>0</v>
      </c>
      <c r="AJ512" s="64">
        <v>0</v>
      </c>
      <c r="AK512" s="64">
        <v>0</v>
      </c>
      <c r="AL512" s="64">
        <v>0</v>
      </c>
      <c r="AM512" s="64">
        <v>1448277.9874216244</v>
      </c>
      <c r="AN512" s="65">
        <v>152511.19821010943</v>
      </c>
      <c r="AO512" s="66">
        <v>292117.07559711509</v>
      </c>
      <c r="AP512" s="128">
        <f>+N512-'Приложение №2'!E521</f>
        <v>0</v>
      </c>
      <c r="AQ512" s="23">
        <v>2983888.22</v>
      </c>
      <c r="AR512" s="25">
        <f t="shared" ref="AR512:AR513" si="324">+(K512*10.5+L512*21)*12*0.85</f>
        <v>515450.88</v>
      </c>
      <c r="AS512" s="25">
        <f>+(K512*10.5+L512*21)*12*30</f>
        <v>18192384</v>
      </c>
      <c r="AT512" s="127">
        <f t="shared" si="285"/>
        <v>-46866.253221824765</v>
      </c>
      <c r="AU512" s="127">
        <f>+P512-'[6]Приложение №1'!$P477</f>
        <v>0</v>
      </c>
      <c r="AV512" s="127">
        <f>+Q512-'[6]Приложение №1'!$Q477</f>
        <v>0</v>
      </c>
      <c r="AW512" s="88">
        <f t="shared" si="291"/>
        <v>21644856.846778177</v>
      </c>
      <c r="AX512" s="64">
        <v>16085062.249059705</v>
      </c>
      <c r="AY512" s="64">
        <v>0</v>
      </c>
      <c r="AZ512" s="64">
        <v>0</v>
      </c>
      <c r="BA512" s="64">
        <v>4577070.5572085762</v>
      </c>
      <c r="BB512" s="64">
        <v>0</v>
      </c>
      <c r="BC512" s="64"/>
      <c r="BD512" s="64">
        <v>519524.10398884036</v>
      </c>
      <c r="BE512" s="64">
        <v>0</v>
      </c>
      <c r="BF512" s="64">
        <v>0</v>
      </c>
      <c r="BG512" s="64">
        <v>0</v>
      </c>
      <c r="BH512" s="64">
        <v>0</v>
      </c>
      <c r="BI512" s="64">
        <v>0</v>
      </c>
      <c r="BJ512" s="64"/>
      <c r="BK512" s="65"/>
      <c r="BL512" s="66">
        <v>463199.93652105302</v>
      </c>
    </row>
    <row r="513" spans="1:64" x14ac:dyDescent="0.25">
      <c r="A513" s="141">
        <f t="shared" si="293"/>
        <v>494</v>
      </c>
      <c r="B513" s="142">
        <f t="shared" si="294"/>
        <v>36</v>
      </c>
      <c r="C513" s="62" t="s">
        <v>82</v>
      </c>
      <c r="D513" s="62" t="s">
        <v>652</v>
      </c>
      <c r="E513" s="123">
        <v>1984</v>
      </c>
      <c r="F513" s="123">
        <v>2012</v>
      </c>
      <c r="G513" s="123" t="s">
        <v>43</v>
      </c>
      <c r="H513" s="123">
        <v>5</v>
      </c>
      <c r="I513" s="123">
        <v>2</v>
      </c>
      <c r="J513" s="64">
        <v>4407.8500000000004</v>
      </c>
      <c r="K513" s="64">
        <v>2910.8</v>
      </c>
      <c r="L513" s="64">
        <v>859.6</v>
      </c>
      <c r="M513" s="124">
        <v>176</v>
      </c>
      <c r="N513" s="63">
        <f t="shared" si="323"/>
        <v>21190509.697999995</v>
      </c>
      <c r="O513" s="64"/>
      <c r="P513" s="65">
        <v>453049.84037679993</v>
      </c>
      <c r="Q513" s="65"/>
      <c r="R513" s="65">
        <f t="shared" si="314"/>
        <v>1917627.0699999998</v>
      </c>
      <c r="S513" s="65">
        <f>+AS513</f>
        <v>16553013.43</v>
      </c>
      <c r="T513" s="65">
        <f>+'Приложение №2'!E522-'Приложение №1'!P513-'Приложение №1'!R513-'Приложение №1'!S513</f>
        <v>2266819.3576231971</v>
      </c>
      <c r="U513" s="65">
        <f t="shared" ref="U513:U543" si="325">N513/K513</f>
        <v>7279.9607317575901</v>
      </c>
      <c r="V513" s="65">
        <v>1192.2830200640001</v>
      </c>
      <c r="W513" s="126">
        <v>2024</v>
      </c>
      <c r="X513" s="127" t="e">
        <f>+#REF!-'[1]Приложение №1'!$P926</f>
        <v>#REF!</v>
      </c>
      <c r="Z513" s="63">
        <f>SUM(AA513:AO513)</f>
        <v>17771005.9203768</v>
      </c>
      <c r="AA513" s="64">
        <v>0</v>
      </c>
      <c r="AB513" s="64">
        <v>0</v>
      </c>
      <c r="AC513" s="64">
        <v>0</v>
      </c>
      <c r="AD513" s="64">
        <v>0</v>
      </c>
      <c r="AE513" s="64">
        <v>0</v>
      </c>
      <c r="AF513" s="64"/>
      <c r="AG513" s="64">
        <v>0</v>
      </c>
      <c r="AH513" s="64">
        <v>0</v>
      </c>
      <c r="AI513" s="64">
        <v>0</v>
      </c>
      <c r="AJ513" s="64">
        <v>0</v>
      </c>
      <c r="AK513" s="64">
        <v>17217505.868378736</v>
      </c>
      <c r="AL513" s="64">
        <v>0</v>
      </c>
      <c r="AM513" s="23">
        <v>152988.07</v>
      </c>
      <c r="AN513" s="64">
        <v>24000</v>
      </c>
      <c r="AO513" s="66">
        <v>376511.98199806357</v>
      </c>
      <c r="AP513" s="128">
        <f>+N513-'Приложение №2'!E522</f>
        <v>0</v>
      </c>
      <c r="AQ513" s="23">
        <f>2730203.82-1308449.75</f>
        <v>1421754.0699999998</v>
      </c>
      <c r="AR513" s="25">
        <f t="shared" si="324"/>
        <v>495873</v>
      </c>
      <c r="AS513" s="25">
        <f>+(K513*10.5+L513*21)*12*30-948386.57</f>
        <v>16553013.43</v>
      </c>
      <c r="AT513" s="127">
        <f t="shared" si="285"/>
        <v>0</v>
      </c>
      <c r="AU513" s="127">
        <f>+P513-'[6]Приложение №1'!$P478</f>
        <v>0</v>
      </c>
      <c r="AV513" s="127">
        <f>+Q513-'[6]Приложение №1'!$Q478</f>
        <v>0</v>
      </c>
      <c r="AW513" s="88">
        <f t="shared" si="291"/>
        <v>21190509.697999999</v>
      </c>
      <c r="AX513" s="64">
        <v>0</v>
      </c>
      <c r="AY513" s="64">
        <v>0</v>
      </c>
      <c r="AZ513" s="64">
        <v>0</v>
      </c>
      <c r="BA513" s="64">
        <v>0</v>
      </c>
      <c r="BB513" s="64">
        <v>0</v>
      </c>
      <c r="BC513" s="64"/>
      <c r="BD513" s="64"/>
      <c r="BE513" s="64">
        <v>0</v>
      </c>
      <c r="BF513" s="64">
        <v>0</v>
      </c>
      <c r="BG513" s="64">
        <v>0</v>
      </c>
      <c r="BH513" s="64">
        <v>20737032.790462799</v>
      </c>
      <c r="BI513" s="64">
        <v>0</v>
      </c>
      <c r="BJ513" s="71"/>
      <c r="BK513" s="64"/>
      <c r="BL513" s="66">
        <v>453476.90753720002</v>
      </c>
    </row>
    <row r="514" spans="1:64" x14ac:dyDescent="0.25">
      <c r="A514" s="141">
        <f t="shared" si="293"/>
        <v>495</v>
      </c>
      <c r="B514" s="142">
        <f t="shared" si="294"/>
        <v>37</v>
      </c>
      <c r="C514" s="62" t="s">
        <v>82</v>
      </c>
      <c r="D514" s="62" t="s">
        <v>638</v>
      </c>
      <c r="E514" s="123">
        <v>1984</v>
      </c>
      <c r="F514" s="123">
        <v>2017</v>
      </c>
      <c r="G514" s="123" t="s">
        <v>43</v>
      </c>
      <c r="H514" s="123">
        <v>5</v>
      </c>
      <c r="I514" s="123">
        <v>5</v>
      </c>
      <c r="J514" s="64">
        <v>5852.2</v>
      </c>
      <c r="K514" s="64">
        <v>4921.1000000000004</v>
      </c>
      <c r="L514" s="64">
        <v>51.7</v>
      </c>
      <c r="M514" s="124">
        <v>171</v>
      </c>
      <c r="N514" s="95">
        <f>+P514+Q514+R514+S514+T514</f>
        <v>3925263.292793856</v>
      </c>
      <c r="O514" s="64"/>
      <c r="P514" s="65"/>
      <c r="Q514" s="65"/>
      <c r="R514" s="65">
        <f>+AQ514+AR514</f>
        <v>1586967.3900000001</v>
      </c>
      <c r="S514" s="65">
        <f>+'Приложение №2'!E523-'Приложение №1'!R514</f>
        <v>2338295.9027938559</v>
      </c>
      <c r="T514" s="65">
        <v>0</v>
      </c>
      <c r="U514" s="64">
        <f>$N514/($K514+$L514)</f>
        <v>789.34670463196903</v>
      </c>
      <c r="V514" s="64">
        <f>$N514/($K514+$L514)</f>
        <v>789.34670463196903</v>
      </c>
      <c r="W514" s="126">
        <v>2024</v>
      </c>
      <c r="X514" s="127" t="e">
        <f>+#REF!-'[1]Приложение №1'!$P566</f>
        <v>#REF!</v>
      </c>
      <c r="Z514" s="63">
        <f>SUM(AA514:AO514)</f>
        <v>4410408.1941504003</v>
      </c>
      <c r="AA514" s="64">
        <v>0</v>
      </c>
      <c r="AB514" s="64">
        <v>0</v>
      </c>
      <c r="AC514" s="64">
        <v>3841262.6583280675</v>
      </c>
      <c r="AD514" s="64">
        <v>0</v>
      </c>
      <c r="AE514" s="64">
        <v>0</v>
      </c>
      <c r="AF514" s="64"/>
      <c r="AG514" s="64">
        <v>0</v>
      </c>
      <c r="AH514" s="64">
        <v>0</v>
      </c>
      <c r="AI514" s="64">
        <v>0</v>
      </c>
      <c r="AJ514" s="64">
        <v>0</v>
      </c>
      <c r="AK514" s="64">
        <v>0</v>
      </c>
      <c r="AL514" s="64">
        <v>0</v>
      </c>
      <c r="AM514" s="64">
        <v>441040.81941504008</v>
      </c>
      <c r="AN514" s="65">
        <v>44104.081941504002</v>
      </c>
      <c r="AO514" s="66">
        <v>84000.634465788535</v>
      </c>
      <c r="AP514" s="128">
        <f>+N514-'Приложение №2'!E523</f>
        <v>0</v>
      </c>
      <c r="AQ514" s="23">
        <f>2251183.06-1176714.67</f>
        <v>1074468.3900000001</v>
      </c>
      <c r="AR514" s="25">
        <f>+(K514*10+L514*20)*12*0.85</f>
        <v>512499</v>
      </c>
      <c r="AS514" s="25">
        <f>+(K514*10+L514*20)*12*30</f>
        <v>18088200</v>
      </c>
      <c r="AT514" s="127">
        <f>+S514-AS514</f>
        <v>-15749904.097206144</v>
      </c>
      <c r="AU514" s="127">
        <f>+P514-'[6]Приложение №1'!$P229</f>
        <v>0</v>
      </c>
      <c r="AV514" s="127">
        <f>+Q514-'[6]Приложение №1'!$Q229</f>
        <v>0</v>
      </c>
      <c r="AW514" s="63">
        <f>SUBTOTAL(9,AX514:BL514)</f>
        <v>3925263.292793856</v>
      </c>
      <c r="AX514" s="64">
        <v>0</v>
      </c>
      <c r="AY514" s="64">
        <v>0</v>
      </c>
      <c r="AZ514" s="64">
        <v>3841262.6583280675</v>
      </c>
      <c r="BA514" s="64">
        <v>0</v>
      </c>
      <c r="BB514" s="64">
        <v>0</v>
      </c>
      <c r="BC514" s="64"/>
      <c r="BD514" s="64"/>
      <c r="BE514" s="64">
        <v>0</v>
      </c>
      <c r="BF514" s="64">
        <v>0</v>
      </c>
      <c r="BG514" s="64">
        <v>0</v>
      </c>
      <c r="BH514" s="64">
        <v>0</v>
      </c>
      <c r="BI514" s="64">
        <v>0</v>
      </c>
      <c r="BJ514" s="64"/>
      <c r="BK514" s="65"/>
      <c r="BL514" s="66">
        <v>84000.634465788535</v>
      </c>
    </row>
    <row r="515" spans="1:64" x14ac:dyDescent="0.25">
      <c r="A515" s="141">
        <f t="shared" si="293"/>
        <v>496</v>
      </c>
      <c r="B515" s="142">
        <f t="shared" si="294"/>
        <v>38</v>
      </c>
      <c r="C515" s="62" t="s">
        <v>82</v>
      </c>
      <c r="D515" s="62" t="s">
        <v>639</v>
      </c>
      <c r="E515" s="123">
        <v>1985</v>
      </c>
      <c r="F515" s="123">
        <v>2017</v>
      </c>
      <c r="G515" s="123" t="s">
        <v>43</v>
      </c>
      <c r="H515" s="123">
        <v>9</v>
      </c>
      <c r="I515" s="123">
        <v>5</v>
      </c>
      <c r="J515" s="64">
        <v>13256</v>
      </c>
      <c r="K515" s="64">
        <v>10326.299999999999</v>
      </c>
      <c r="L515" s="64">
        <v>160.4</v>
      </c>
      <c r="M515" s="124">
        <v>409</v>
      </c>
      <c r="N515" s="95">
        <f>+P515+Q515+R515+S515+T515</f>
        <v>36137184.968160048</v>
      </c>
      <c r="O515" s="64"/>
      <c r="P515" s="65"/>
      <c r="Q515" s="65"/>
      <c r="R515" s="65">
        <f>+AQ515+AR515</f>
        <v>7813607.9469999997</v>
      </c>
      <c r="S515" s="65">
        <f>+'Приложение №2'!E524-'Приложение №1'!R515</f>
        <v>28323577.021160048</v>
      </c>
      <c r="T515" s="65">
        <v>9.3132257461547852E-10</v>
      </c>
      <c r="U515" s="64">
        <f>$N515/($K515+$L515)</f>
        <v>3446.0015989930153</v>
      </c>
      <c r="V515" s="64">
        <f>$N515/($K515+$L515)</f>
        <v>3446.0015989930153</v>
      </c>
      <c r="W515" s="126">
        <v>2024</v>
      </c>
      <c r="X515" s="127" t="e">
        <f>+#REF!-'[1]Приложение №1'!$P567</f>
        <v>#REF!</v>
      </c>
      <c r="Z515" s="63">
        <f>SUM(AA515:AO515)</f>
        <v>37665450.361499503</v>
      </c>
      <c r="AA515" s="64">
        <v>24967938.10343796</v>
      </c>
      <c r="AB515" s="64">
        <v>0</v>
      </c>
      <c r="AC515" s="64">
        <v>7378265.4321645685</v>
      </c>
      <c r="AD515" s="64">
        <v>0</v>
      </c>
      <c r="AE515" s="64">
        <v>0</v>
      </c>
      <c r="AF515" s="64"/>
      <c r="AG515" s="64">
        <v>1109290.6412489424</v>
      </c>
      <c r="AH515" s="64">
        <v>0</v>
      </c>
      <c r="AI515" s="64">
        <v>0</v>
      </c>
      <c r="AJ515" s="64">
        <v>0</v>
      </c>
      <c r="AK515" s="64">
        <v>0</v>
      </c>
      <c r="AL515" s="64">
        <v>0</v>
      </c>
      <c r="AM515" s="64">
        <v>3101697.7822136818</v>
      </c>
      <c r="AN515" s="65">
        <v>376654.50361499505</v>
      </c>
      <c r="AO515" s="66">
        <v>731603.89881935576</v>
      </c>
      <c r="AP515" s="128">
        <f>+N515-'Приложение №2'!E524</f>
        <v>0</v>
      </c>
      <c r="AQ515" s="23">
        <v>6376950.8499999996</v>
      </c>
      <c r="AR515" s="25">
        <f>+(K515*13.29+L515*22.52)*12*0.85</f>
        <v>1436657.0969999998</v>
      </c>
      <c r="AS515" s="25">
        <f>+(K515*13.29+L515*22.52)*12*30</f>
        <v>50705544.599999994</v>
      </c>
      <c r="AT515" s="127">
        <f>+S515-AS515</f>
        <v>-22381967.578839947</v>
      </c>
      <c r="AU515" s="127">
        <f>+P515-'[6]Приложение №1'!$P230</f>
        <v>0</v>
      </c>
      <c r="AV515" s="127">
        <f>+Q515-'[6]Приложение №1'!$Q230</f>
        <v>0</v>
      </c>
      <c r="AW515" s="63">
        <f>SUBTOTAL(9,AX515:BL515)</f>
        <v>36137184.968160048</v>
      </c>
      <c r="AX515" s="64">
        <v>26584018.179886967</v>
      </c>
      <c r="AY515" s="64">
        <v>0</v>
      </c>
      <c r="AZ515" s="64">
        <v>7688281.3864862276</v>
      </c>
      <c r="BA515" s="64">
        <v>0</v>
      </c>
      <c r="BB515" s="64">
        <v>0</v>
      </c>
      <c r="BC515" s="64"/>
      <c r="BD515" s="64">
        <v>1109290.6412489424</v>
      </c>
      <c r="BE515" s="64">
        <v>0</v>
      </c>
      <c r="BF515" s="64">
        <v>0</v>
      </c>
      <c r="BG515" s="64">
        <v>0</v>
      </c>
      <c r="BH515" s="64">
        <v>0</v>
      </c>
      <c r="BI515" s="64">
        <v>0</v>
      </c>
      <c r="BJ515" s="64"/>
      <c r="BK515" s="65"/>
      <c r="BL515" s="66">
        <v>755594.76053791493</v>
      </c>
    </row>
    <row r="516" spans="1:64" x14ac:dyDescent="0.25">
      <c r="A516" s="141">
        <f t="shared" si="293"/>
        <v>497</v>
      </c>
      <c r="B516" s="142">
        <f t="shared" si="294"/>
        <v>39</v>
      </c>
      <c r="C516" s="62" t="s">
        <v>82</v>
      </c>
      <c r="D516" s="62" t="s">
        <v>671</v>
      </c>
      <c r="E516" s="123">
        <v>1985</v>
      </c>
      <c r="F516" s="123">
        <v>2009</v>
      </c>
      <c r="G516" s="123" t="s">
        <v>43</v>
      </c>
      <c r="H516" s="123">
        <v>9</v>
      </c>
      <c r="I516" s="123">
        <v>3</v>
      </c>
      <c r="J516" s="64">
        <v>8711.5</v>
      </c>
      <c r="K516" s="64">
        <v>6822.5</v>
      </c>
      <c r="L516" s="64">
        <v>438.1</v>
      </c>
      <c r="M516" s="124">
        <v>267</v>
      </c>
      <c r="N516" s="63">
        <f t="shared" si="323"/>
        <v>12813150</v>
      </c>
      <c r="O516" s="64"/>
      <c r="P516" s="65"/>
      <c r="Q516" s="65"/>
      <c r="R516" s="65">
        <f t="shared" ref="R516:R520" si="326">+AQ516+AR516</f>
        <v>6542298.3880000003</v>
      </c>
      <c r="S516" s="65">
        <f>+'Приложение №2'!E525-'Приложение №1'!R516</f>
        <v>6270851.6119999997</v>
      </c>
      <c r="T516" s="65">
        <v>0</v>
      </c>
      <c r="U516" s="65">
        <f t="shared" si="325"/>
        <v>1878.0725540491023</v>
      </c>
      <c r="V516" s="65">
        <v>1196.2830200640001</v>
      </c>
      <c r="W516" s="126">
        <v>2024</v>
      </c>
      <c r="X516" s="127"/>
      <c r="Z516" s="63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  <c r="AN516" s="65"/>
      <c r="AO516" s="66"/>
      <c r="AP516" s="128">
        <f>+N516-'Приложение №2'!E525</f>
        <v>0</v>
      </c>
      <c r="AQ516" s="23">
        <v>5465842</v>
      </c>
      <c r="AR516" s="25">
        <f>+(K516*13.95+L516*23.65)*12*0.85</f>
        <v>1076456.388</v>
      </c>
      <c r="AS516" s="25">
        <f>+(K516*13.95+L516*23.65)*12*30</f>
        <v>37992578.399999999</v>
      </c>
      <c r="AT516" s="127">
        <f t="shared" si="285"/>
        <v>-31721726.787999999</v>
      </c>
      <c r="AU516" s="127">
        <f>+P516-'[6]Приложение №1'!$P482</f>
        <v>0</v>
      </c>
      <c r="AV516" s="127">
        <f>+Q516-'[6]Приложение №1'!$Q482</f>
        <v>0</v>
      </c>
      <c r="AW516" s="88">
        <f t="shared" si="291"/>
        <v>12813150</v>
      </c>
      <c r="AX516" s="64"/>
      <c r="AY516" s="64"/>
      <c r="AZ516" s="64"/>
      <c r="BA516" s="64"/>
      <c r="BB516" s="64"/>
      <c r="BC516" s="64"/>
      <c r="BD516" s="64"/>
      <c r="BE516" s="64">
        <v>12037390.646400001</v>
      </c>
      <c r="BF516" s="64"/>
      <c r="BG516" s="64"/>
      <c r="BH516" s="64"/>
      <c r="BI516" s="64"/>
      <c r="BJ516" s="64">
        <v>384394.5</v>
      </c>
      <c r="BK516" s="65">
        <v>128131.5</v>
      </c>
      <c r="BL516" s="66">
        <v>263233.35360000003</v>
      </c>
    </row>
    <row r="517" spans="1:64" x14ac:dyDescent="0.25">
      <c r="A517" s="141">
        <f t="shared" si="293"/>
        <v>498</v>
      </c>
      <c r="B517" s="142">
        <f t="shared" si="294"/>
        <v>40</v>
      </c>
      <c r="C517" s="62" t="s">
        <v>82</v>
      </c>
      <c r="D517" s="62" t="s">
        <v>631</v>
      </c>
      <c r="E517" s="123">
        <v>1981</v>
      </c>
      <c r="F517" s="123">
        <v>2016</v>
      </c>
      <c r="G517" s="123" t="s">
        <v>43</v>
      </c>
      <c r="H517" s="123">
        <v>4</v>
      </c>
      <c r="I517" s="123">
        <v>3</v>
      </c>
      <c r="J517" s="64">
        <v>3910.2</v>
      </c>
      <c r="K517" s="64">
        <v>2017.9</v>
      </c>
      <c r="L517" s="64">
        <v>997.9</v>
      </c>
      <c r="M517" s="124">
        <v>113</v>
      </c>
      <c r="N517" s="63">
        <f t="shared" si="323"/>
        <v>3065056.7996259294</v>
      </c>
      <c r="O517" s="64"/>
      <c r="P517" s="65">
        <v>749476.04747032025</v>
      </c>
      <c r="Q517" s="65"/>
      <c r="R517" s="65">
        <f t="shared" si="326"/>
        <v>860268.38000000012</v>
      </c>
      <c r="S517" s="65">
        <f>+'Приложение №2'!E526-'Приложение №1'!P517-R517</f>
        <v>1455312.3721556093</v>
      </c>
      <c r="T517" s="65">
        <v>0</v>
      </c>
      <c r="U517" s="65">
        <f t="shared" si="325"/>
        <v>1518.9339410406508</v>
      </c>
      <c r="V517" s="65">
        <v>1197.2830200640001</v>
      </c>
      <c r="W517" s="126">
        <v>2024</v>
      </c>
      <c r="X517" s="127" t="e">
        <f>+#REF!-'[1]Приложение №1'!$P1497</f>
        <v>#REF!</v>
      </c>
      <c r="Z517" s="63">
        <f t="shared" ref="Z517:Z531" si="327">SUM(AA517:AO517)</f>
        <v>33549604.466355495</v>
      </c>
      <c r="AA517" s="64">
        <v>9163753.0558547936</v>
      </c>
      <c r="AB517" s="64">
        <v>4716823.2</v>
      </c>
      <c r="AC517" s="64">
        <v>2695930.7316036122</v>
      </c>
      <c r="AD517" s="64">
        <v>0</v>
      </c>
      <c r="AE517" s="64">
        <v>0</v>
      </c>
      <c r="AF517" s="64"/>
      <c r="AG517" s="64">
        <v>295975.88879684091</v>
      </c>
      <c r="AH517" s="64">
        <v>0</v>
      </c>
      <c r="AI517" s="64">
        <v>13238455.132672109</v>
      </c>
      <c r="AJ517" s="64">
        <v>0</v>
      </c>
      <c r="AK517" s="64">
        <v>0</v>
      </c>
      <c r="AL517" s="64">
        <v>0</v>
      </c>
      <c r="AM517" s="64">
        <v>2552926.0485136751</v>
      </c>
      <c r="AN517" s="65">
        <v>295470.26754077495</v>
      </c>
      <c r="AO517" s="66">
        <v>590270.14137369313</v>
      </c>
      <c r="AP517" s="128">
        <f>+N517-'Приложение №2'!E526</f>
        <v>0</v>
      </c>
      <c r="AQ517" s="127">
        <f>1237078.21-R34</f>
        <v>430401.1100000001</v>
      </c>
      <c r="AR517" s="25">
        <f>+(K517*10.5+L517*21)*12*0.85</f>
        <v>429867.26999999996</v>
      </c>
      <c r="AS517" s="25">
        <f>+(K517*10.5+L517*21)*12*30-S34</f>
        <v>5420245.1035438571</v>
      </c>
      <c r="AT517" s="127">
        <f t="shared" si="285"/>
        <v>-3964932.7313882476</v>
      </c>
      <c r="AU517" s="127">
        <f>+P517-'[6]Приложение №1'!$P483</f>
        <v>0</v>
      </c>
      <c r="AV517" s="127">
        <f>+Q517-'[6]Приложение №1'!$Q483</f>
        <v>0</v>
      </c>
      <c r="AW517" s="88">
        <f t="shared" si="291"/>
        <v>3065056.7996259299</v>
      </c>
      <c r="AX517" s="64"/>
      <c r="AY517" s="64"/>
      <c r="AZ517" s="64">
        <v>2965260.2806766843</v>
      </c>
      <c r="BA517" s="64">
        <v>0</v>
      </c>
      <c r="BB517" s="64"/>
      <c r="BC517" s="64"/>
      <c r="BD517" s="64"/>
      <c r="BE517" s="64"/>
      <c r="BF517" s="64"/>
      <c r="BG517" s="64">
        <v>0</v>
      </c>
      <c r="BH517" s="64">
        <v>0</v>
      </c>
      <c r="BI517" s="64">
        <v>0</v>
      </c>
      <c r="BJ517" s="64"/>
      <c r="BK517" s="65"/>
      <c r="BL517" s="66">
        <v>99796.518949245714</v>
      </c>
    </row>
    <row r="518" spans="1:64" x14ac:dyDescent="0.25">
      <c r="A518" s="141">
        <f t="shared" si="293"/>
        <v>499</v>
      </c>
      <c r="B518" s="142">
        <f t="shared" si="294"/>
        <v>41</v>
      </c>
      <c r="C518" s="62" t="s">
        <v>82</v>
      </c>
      <c r="D518" s="62" t="s">
        <v>653</v>
      </c>
      <c r="E518" s="123">
        <v>1992</v>
      </c>
      <c r="F518" s="123">
        <v>2012</v>
      </c>
      <c r="G518" s="123" t="s">
        <v>43</v>
      </c>
      <c r="H518" s="123">
        <v>9</v>
      </c>
      <c r="I518" s="123">
        <v>1</v>
      </c>
      <c r="J518" s="64">
        <v>2875.6</v>
      </c>
      <c r="K518" s="64">
        <v>2204.5</v>
      </c>
      <c r="L518" s="64">
        <v>292.8</v>
      </c>
      <c r="M518" s="124">
        <v>65</v>
      </c>
      <c r="N518" s="63">
        <f t="shared" si="323"/>
        <v>7596756.2910677902</v>
      </c>
      <c r="O518" s="64"/>
      <c r="P518" s="65"/>
      <c r="Q518" s="65"/>
      <c r="R518" s="65">
        <f t="shared" si="326"/>
        <v>2284590.5090000001</v>
      </c>
      <c r="S518" s="65">
        <f>+'Приложение №2'!E527-'Приложение №1'!R518</f>
        <v>5312165.7820677906</v>
      </c>
      <c r="T518" s="65">
        <v>2.3283064365386963E-10</v>
      </c>
      <c r="U518" s="65">
        <f t="shared" si="325"/>
        <v>3446.0223592958905</v>
      </c>
      <c r="V518" s="65">
        <v>1198.2830200640001</v>
      </c>
      <c r="W518" s="126">
        <v>2024</v>
      </c>
      <c r="X518" s="127" t="e">
        <f>+#REF!-'[1]Приложение №1'!$P941</f>
        <v>#REF!</v>
      </c>
      <c r="Z518" s="63">
        <f t="shared" si="327"/>
        <v>8952042.0564937461</v>
      </c>
      <c r="AA518" s="64">
        <v>5934192.4713683669</v>
      </c>
      <c r="AB518" s="64">
        <v>0</v>
      </c>
      <c r="AC518" s="64">
        <v>1753610.8507606245</v>
      </c>
      <c r="AD518" s="64">
        <v>0</v>
      </c>
      <c r="AE518" s="64">
        <v>0</v>
      </c>
      <c r="AF518" s="64"/>
      <c r="AG518" s="64">
        <v>263647.88892809901</v>
      </c>
      <c r="AH518" s="64">
        <v>0</v>
      </c>
      <c r="AI518" s="64">
        <v>0</v>
      </c>
      <c r="AJ518" s="64">
        <v>0</v>
      </c>
      <c r="AK518" s="64">
        <v>0</v>
      </c>
      <c r="AL518" s="64">
        <v>0</v>
      </c>
      <c r="AM518" s="64">
        <v>737188.29129658756</v>
      </c>
      <c r="AN518" s="65">
        <v>89520.420564937449</v>
      </c>
      <c r="AO518" s="66">
        <v>173882.1335751295</v>
      </c>
      <c r="AP518" s="128">
        <f>+N518-'Приложение №2'!E527</f>
        <v>0</v>
      </c>
      <c r="AQ518" s="38">
        <v>1900280.06</v>
      </c>
      <c r="AR518" s="25">
        <f t="shared" ref="AR518" si="328">+(K518*13.95+L518*23.65)*12*0.85</f>
        <v>384310.44899999996</v>
      </c>
      <c r="AS518" s="25">
        <f>+(K518*13.95+L518*23.65)*12*30</f>
        <v>13563898.199999999</v>
      </c>
      <c r="AT518" s="127">
        <f t="shared" si="285"/>
        <v>-8251732.4179322086</v>
      </c>
      <c r="AU518" s="127">
        <f>+P518-'[6]Приложение №1'!$P484</f>
        <v>0</v>
      </c>
      <c r="AV518" s="127">
        <f>+Q518-'[6]Приложение №1'!$Q484</f>
        <v>0</v>
      </c>
      <c r="AW518" s="88">
        <f t="shared" si="291"/>
        <v>7596756.2910677912</v>
      </c>
      <c r="AX518" s="64">
        <v>7116553.6781660952</v>
      </c>
      <c r="AY518" s="64">
        <v>0</v>
      </c>
      <c r="AZ518" s="64">
        <v>0</v>
      </c>
      <c r="BA518" s="64">
        <v>0</v>
      </c>
      <c r="BB518" s="64">
        <v>0</v>
      </c>
      <c r="BC518" s="64"/>
      <c r="BD518" s="64">
        <v>317632.02827284439</v>
      </c>
      <c r="BE518" s="64">
        <v>0</v>
      </c>
      <c r="BF518" s="64">
        <v>0</v>
      </c>
      <c r="BG518" s="64">
        <v>0</v>
      </c>
      <c r="BH518" s="64">
        <v>0</v>
      </c>
      <c r="BI518" s="64">
        <v>0</v>
      </c>
      <c r="BJ518" s="64"/>
      <c r="BK518" s="65"/>
      <c r="BL518" s="66">
        <v>162570.58462885072</v>
      </c>
    </row>
    <row r="519" spans="1:64" x14ac:dyDescent="0.25">
      <c r="A519" s="141">
        <f t="shared" si="293"/>
        <v>500</v>
      </c>
      <c r="B519" s="142">
        <f t="shared" si="294"/>
        <v>42</v>
      </c>
      <c r="C519" s="62" t="s">
        <v>82</v>
      </c>
      <c r="D519" s="62" t="s">
        <v>646</v>
      </c>
      <c r="E519" s="123">
        <v>1991</v>
      </c>
      <c r="F519" s="123">
        <v>2011</v>
      </c>
      <c r="G519" s="123" t="s">
        <v>43</v>
      </c>
      <c r="H519" s="123">
        <v>9</v>
      </c>
      <c r="I519" s="123">
        <v>1</v>
      </c>
      <c r="J519" s="64">
        <v>2848.2</v>
      </c>
      <c r="K519" s="64">
        <v>2372.6999999999998</v>
      </c>
      <c r="L519" s="64">
        <v>100.6</v>
      </c>
      <c r="M519" s="124">
        <v>61</v>
      </c>
      <c r="N519" s="95">
        <f>+P519+Q519+R519+S519+T519</f>
        <v>2085412.7608436176</v>
      </c>
      <c r="O519" s="64"/>
      <c r="P519" s="65"/>
      <c r="Q519" s="65"/>
      <c r="R519" s="65">
        <f>+AQ519+AR519</f>
        <v>734493.91899999999</v>
      </c>
      <c r="S519" s="65">
        <f>+'Приложение №2'!E528-'Приложение №1'!R519</f>
        <v>1350918.8418436176</v>
      </c>
      <c r="T519" s="65">
        <v>0</v>
      </c>
      <c r="U519" s="64">
        <f>$N519/($K519+$L519)</f>
        <v>843.17016166401891</v>
      </c>
      <c r="V519" s="64">
        <f>$N519/($K519+$L519)</f>
        <v>843.17016166401891</v>
      </c>
      <c r="W519" s="126">
        <v>2024</v>
      </c>
      <c r="X519" s="127" t="e">
        <f>+#REF!-'[1]Приложение №1'!$P1335</f>
        <v>#REF!</v>
      </c>
      <c r="Z519" s="63">
        <f>SUM(AA519:AO519)</f>
        <v>9685484.1454348229</v>
      </c>
      <c r="AA519" s="64">
        <v>6420381.7111990321</v>
      </c>
      <c r="AB519" s="64">
        <v>0</v>
      </c>
      <c r="AC519" s="64">
        <v>1897284.4391391145</v>
      </c>
      <c r="AD519" s="64">
        <v>0</v>
      </c>
      <c r="AE519" s="64">
        <v>0</v>
      </c>
      <c r="AF519" s="64"/>
      <c r="AG519" s="64">
        <v>285248.59826123505</v>
      </c>
      <c r="AH519" s="64">
        <v>0</v>
      </c>
      <c r="AI519" s="64">
        <v>0</v>
      </c>
      <c r="AJ519" s="64">
        <v>0</v>
      </c>
      <c r="AK519" s="64">
        <v>0</v>
      </c>
      <c r="AL519" s="64">
        <v>0</v>
      </c>
      <c r="AM519" s="64">
        <v>797586.23367659084</v>
      </c>
      <c r="AN519" s="65">
        <v>96854.841454348236</v>
      </c>
      <c r="AO519" s="66">
        <v>188128.32170450315</v>
      </c>
      <c r="AP519" s="128">
        <f>+N519-'Приложение №2'!E528</f>
        <v>0</v>
      </c>
      <c r="AQ519" s="23">
        <f>1575336.79-1185589.56</f>
        <v>389747.23</v>
      </c>
      <c r="AR519" s="25">
        <f>+(K519*13.29+L519*22.52)*12*0.85</f>
        <v>344746.68899999995</v>
      </c>
      <c r="AS519" s="25">
        <f>+(K519*13.29+L519*22.52)*12*30</f>
        <v>12167530.199999999</v>
      </c>
      <c r="AT519" s="127">
        <f>+S519-AS519</f>
        <v>-10816611.358156381</v>
      </c>
      <c r="AU519" s="127">
        <f>+P519-'[6]Приложение №1'!$P252</f>
        <v>0</v>
      </c>
      <c r="AV519" s="127">
        <f>+Q519-'[6]Приложение №1'!$Q252</f>
        <v>0</v>
      </c>
      <c r="AW519" s="63">
        <f>SUBTOTAL(9,AX519:BL519)</f>
        <v>2085412.7608436176</v>
      </c>
      <c r="AX519" s="64"/>
      <c r="AY519" s="64">
        <v>0</v>
      </c>
      <c r="AZ519" s="64">
        <v>1897284.4391391145</v>
      </c>
      <c r="BA519" s="64">
        <v>0</v>
      </c>
      <c r="BB519" s="64">
        <v>0</v>
      </c>
      <c r="BC519" s="64"/>
      <c r="BD519" s="64"/>
      <c r="BE519" s="64">
        <v>0</v>
      </c>
      <c r="BF519" s="64">
        <v>0</v>
      </c>
      <c r="BG519" s="64">
        <v>0</v>
      </c>
      <c r="BH519" s="64">
        <v>0</v>
      </c>
      <c r="BI519" s="64">
        <v>0</v>
      </c>
      <c r="BJ519" s="64"/>
      <c r="BK519" s="65"/>
      <c r="BL519" s="66">
        <v>188128.32170450315</v>
      </c>
    </row>
    <row r="520" spans="1:64" x14ac:dyDescent="0.25">
      <c r="A520" s="141">
        <f t="shared" si="293"/>
        <v>501</v>
      </c>
      <c r="B520" s="142">
        <f t="shared" si="294"/>
        <v>43</v>
      </c>
      <c r="C520" s="62" t="s">
        <v>82</v>
      </c>
      <c r="D520" s="62" t="s">
        <v>1113</v>
      </c>
      <c r="E520" s="123">
        <v>1987</v>
      </c>
      <c r="F520" s="123">
        <v>2016</v>
      </c>
      <c r="G520" s="123" t="s">
        <v>43</v>
      </c>
      <c r="H520" s="123">
        <v>5</v>
      </c>
      <c r="I520" s="123">
        <v>4</v>
      </c>
      <c r="J520" s="64">
        <v>5812.1</v>
      </c>
      <c r="K520" s="64">
        <v>4766.5</v>
      </c>
      <c r="L520" s="64">
        <v>87</v>
      </c>
      <c r="M520" s="124">
        <v>201</v>
      </c>
      <c r="N520" s="63">
        <f t="shared" si="323"/>
        <v>34449317.113817371</v>
      </c>
      <c r="O520" s="64"/>
      <c r="P520" s="65">
        <v>3288504.7317224042</v>
      </c>
      <c r="Q520" s="65"/>
      <c r="R520" s="65">
        <f t="shared" si="326"/>
        <v>3450264.1999999997</v>
      </c>
      <c r="S520" s="65">
        <f>+AS520</f>
        <v>18675090</v>
      </c>
      <c r="T520" s="65">
        <f>+'Приложение №2'!E529-'Приложение №1'!P520-'Приложение №1'!R520-'Приложение №1'!S520</f>
        <v>9035458.1820949689</v>
      </c>
      <c r="U520" s="65">
        <f t="shared" si="325"/>
        <v>7227.3821701074939</v>
      </c>
      <c r="V520" s="65">
        <v>1201.2830200640001</v>
      </c>
      <c r="W520" s="126">
        <v>2024</v>
      </c>
      <c r="X520" s="127" t="e">
        <f>+#REF!-'[1]Приложение №1'!$P570</f>
        <v>#REF!</v>
      </c>
      <c r="Z520" s="63">
        <f t="shared" si="327"/>
        <v>8348211.4144000001</v>
      </c>
      <c r="AA520" s="64">
        <v>0</v>
      </c>
      <c r="AB520" s="64">
        <v>0</v>
      </c>
      <c r="AC520" s="64">
        <v>0</v>
      </c>
      <c r="AD520" s="64">
        <v>0</v>
      </c>
      <c r="AE520" s="64">
        <v>0</v>
      </c>
      <c r="AF520" s="64"/>
      <c r="AG520" s="64">
        <v>0</v>
      </c>
      <c r="AH520" s="64">
        <v>0</v>
      </c>
      <c r="AI520" s="64">
        <v>0</v>
      </c>
      <c r="AJ520" s="64">
        <v>7270908.124217337</v>
      </c>
      <c r="AK520" s="64">
        <v>0</v>
      </c>
      <c r="AL520" s="64">
        <v>0</v>
      </c>
      <c r="AM520" s="64">
        <v>834821.14144000004</v>
      </c>
      <c r="AN520" s="65">
        <v>83482.114144000006</v>
      </c>
      <c r="AO520" s="66">
        <v>159000.0345986624</v>
      </c>
      <c r="AP520" s="128">
        <f>+N520-'Приложение №2'!E529</f>
        <v>0</v>
      </c>
      <c r="AQ520" s="38">
        <v>2921136.65</v>
      </c>
      <c r="AR520" s="25">
        <f>+(K520*10.5+L520*21)*12*0.85</f>
        <v>529127.54999999993</v>
      </c>
      <c r="AS520" s="25">
        <f>+(K520*10.5+L520*21)*12*30</f>
        <v>18675090</v>
      </c>
      <c r="AT520" s="127">
        <f t="shared" si="285"/>
        <v>0</v>
      </c>
      <c r="AU520" s="127">
        <f>+P520-'[6]Приложение №1'!$P487</f>
        <v>0</v>
      </c>
      <c r="AV520" s="127">
        <f>+Q520-'[6]Приложение №1'!$Q487</f>
        <v>0</v>
      </c>
      <c r="AW520" s="88">
        <f t="shared" si="291"/>
        <v>34449317.113817371</v>
      </c>
      <c r="AX520" s="64">
        <v>0</v>
      </c>
      <c r="AY520" s="64">
        <v>0</v>
      </c>
      <c r="AZ520" s="64">
        <v>0</v>
      </c>
      <c r="BA520" s="64">
        <v>0</v>
      </c>
      <c r="BB520" s="64">
        <v>0</v>
      </c>
      <c r="BC520" s="64"/>
      <c r="BD520" s="64"/>
      <c r="BE520" s="64">
        <v>0</v>
      </c>
      <c r="BF520" s="64">
        <v>0</v>
      </c>
      <c r="BG520" s="64">
        <v>9755981.0283780545</v>
      </c>
      <c r="BH520" s="64">
        <v>23956120.699203629</v>
      </c>
      <c r="BI520" s="64">
        <v>0</v>
      </c>
      <c r="BJ520" s="64"/>
      <c r="BK520" s="65"/>
      <c r="BL520" s="66">
        <v>737215.38623569196</v>
      </c>
    </row>
    <row r="521" spans="1:64" x14ac:dyDescent="0.25">
      <c r="A521" s="141">
        <f t="shared" si="293"/>
        <v>502</v>
      </c>
      <c r="B521" s="142">
        <f t="shared" si="294"/>
        <v>44</v>
      </c>
      <c r="C521" s="62" t="s">
        <v>83</v>
      </c>
      <c r="D521" s="62" t="s">
        <v>1114</v>
      </c>
      <c r="E521" s="123">
        <v>1991</v>
      </c>
      <c r="F521" s="123">
        <v>2007</v>
      </c>
      <c r="G521" s="123" t="s">
        <v>43</v>
      </c>
      <c r="H521" s="123">
        <v>9</v>
      </c>
      <c r="I521" s="123">
        <v>5</v>
      </c>
      <c r="J521" s="64">
        <v>17171.8</v>
      </c>
      <c r="K521" s="64">
        <v>14372.9</v>
      </c>
      <c r="L521" s="64">
        <v>1885.6</v>
      </c>
      <c r="M521" s="124">
        <v>500</v>
      </c>
      <c r="N521" s="63">
        <f t="shared" si="323"/>
        <v>17956800</v>
      </c>
      <c r="O521" s="64"/>
      <c r="P521" s="65">
        <v>7716317.4366000015</v>
      </c>
      <c r="Q521" s="65"/>
      <c r="R521" s="65">
        <v>10240482.563399998</v>
      </c>
      <c r="T521" s="65"/>
      <c r="U521" s="65">
        <f t="shared" si="325"/>
        <v>1249.3512095680064</v>
      </c>
      <c r="V521" s="65">
        <v>1202.2830200640001</v>
      </c>
      <c r="W521" s="126">
        <v>2024</v>
      </c>
      <c r="X521" s="127" t="e">
        <f>+#REF!-'[1]Приложение №1'!$P174</f>
        <v>#REF!</v>
      </c>
      <c r="Z521" s="63">
        <f t="shared" si="327"/>
        <v>41065952.285400696</v>
      </c>
      <c r="AA521" s="64">
        <v>35121361.789660126</v>
      </c>
      <c r="AB521" s="64">
        <v>0</v>
      </c>
      <c r="AC521" s="64">
        <v>0</v>
      </c>
      <c r="AD521" s="64">
        <v>0</v>
      </c>
      <c r="AE521" s="64">
        <v>0</v>
      </c>
      <c r="AF521" s="64"/>
      <c r="AG521" s="64">
        <v>1560393.0841138863</v>
      </c>
      <c r="AH521" s="64">
        <v>0</v>
      </c>
      <c r="AI521" s="64">
        <v>0</v>
      </c>
      <c r="AJ521" s="64">
        <v>0</v>
      </c>
      <c r="AK521" s="64">
        <v>0</v>
      </c>
      <c r="AL521" s="64">
        <v>0</v>
      </c>
      <c r="AM521" s="64">
        <v>3171382.2027939623</v>
      </c>
      <c r="AN521" s="65">
        <v>410659.52285400691</v>
      </c>
      <c r="AO521" s="66">
        <v>802155.68597870832</v>
      </c>
      <c r="AP521" s="128">
        <f>+N521-'Приложение №2'!E530</f>
        <v>0</v>
      </c>
      <c r="AR521" s="25">
        <f t="shared" ref="AR521:AR522" si="329">+(K521*13.95+L521*23.65)*12*0.85</f>
        <v>2499983.2289999998</v>
      </c>
      <c r="AS521" s="25">
        <f>+(K521*13.95+L521*23.65)*12*30</f>
        <v>88234702.199999988</v>
      </c>
      <c r="AT521" s="127">
        <f t="shared" si="285"/>
        <v>-88234702.199999988</v>
      </c>
      <c r="AU521" s="127">
        <f>+P521-'[6]Приложение №1'!$P488</f>
        <v>0</v>
      </c>
      <c r="AV521" s="127">
        <f>+Q521-'[6]Приложение №1'!$Q488</f>
        <v>0</v>
      </c>
      <c r="AW521" s="88">
        <f t="shared" si="291"/>
        <v>17956800</v>
      </c>
      <c r="AX521" s="64"/>
      <c r="AY521" s="64"/>
      <c r="AZ521" s="64"/>
      <c r="BA521" s="64"/>
      <c r="BB521" s="64"/>
      <c r="BC521" s="64"/>
      <c r="BD521" s="64"/>
      <c r="BE521" s="64">
        <f>5*3591360</f>
        <v>17956800</v>
      </c>
      <c r="BF521" s="64"/>
      <c r="BG521" s="64"/>
      <c r="BH521" s="64"/>
      <c r="BI521" s="64"/>
      <c r="BJ521" s="64"/>
      <c r="BK521" s="65"/>
      <c r="BL521" s="66"/>
    </row>
    <row r="522" spans="1:64" x14ac:dyDescent="0.25">
      <c r="A522" s="141">
        <f t="shared" si="293"/>
        <v>503</v>
      </c>
      <c r="B522" s="142">
        <f t="shared" si="294"/>
        <v>45</v>
      </c>
      <c r="C522" s="62" t="s">
        <v>83</v>
      </c>
      <c r="D522" s="62" t="s">
        <v>1115</v>
      </c>
      <c r="E522" s="123">
        <v>1992</v>
      </c>
      <c r="F522" s="123">
        <v>2008</v>
      </c>
      <c r="G522" s="123" t="s">
        <v>43</v>
      </c>
      <c r="H522" s="123">
        <v>9</v>
      </c>
      <c r="I522" s="123">
        <v>5</v>
      </c>
      <c r="J522" s="64">
        <v>17240</v>
      </c>
      <c r="K522" s="64">
        <v>14691.6</v>
      </c>
      <c r="L522" s="64">
        <v>793.1</v>
      </c>
      <c r="M522" s="124">
        <v>518</v>
      </c>
      <c r="N522" s="63">
        <f t="shared" si="323"/>
        <v>17956800</v>
      </c>
      <c r="O522" s="64"/>
      <c r="P522" s="65">
        <v>6843315.0602000002</v>
      </c>
      <c r="Q522" s="65"/>
      <c r="R522" s="65">
        <v>7749271.8798000002</v>
      </c>
      <c r="T522" s="65">
        <f>+'Приложение №2'!E531-'Приложение №1'!P522-'Приложение №1'!R522</f>
        <v>3364213.0599999996</v>
      </c>
      <c r="U522" s="65">
        <f t="shared" si="325"/>
        <v>1222.249448664543</v>
      </c>
      <c r="V522" s="65">
        <v>1203.2830200640001</v>
      </c>
      <c r="W522" s="126">
        <v>2024</v>
      </c>
      <c r="X522" s="127" t="e">
        <f>+#REF!-'[1]Приложение №1'!$P175</f>
        <v>#REF!</v>
      </c>
      <c r="Z522" s="63">
        <f t="shared" si="327"/>
        <v>41205480.870442264</v>
      </c>
      <c r="AA522" s="64">
        <v>35240692.613433242</v>
      </c>
      <c r="AB522" s="64">
        <v>0</v>
      </c>
      <c r="AC522" s="64">
        <v>0</v>
      </c>
      <c r="AD522" s="64">
        <v>0</v>
      </c>
      <c r="AE522" s="64">
        <v>0</v>
      </c>
      <c r="AF522" s="64"/>
      <c r="AG522" s="64">
        <v>1565694.7860596243</v>
      </c>
      <c r="AH522" s="64">
        <v>0</v>
      </c>
      <c r="AI522" s="64">
        <v>0</v>
      </c>
      <c r="AJ522" s="64">
        <v>0</v>
      </c>
      <c r="AK522" s="64">
        <v>0</v>
      </c>
      <c r="AL522" s="64">
        <v>0</v>
      </c>
      <c r="AM522" s="64">
        <v>3182157.5153523218</v>
      </c>
      <c r="AN522" s="65">
        <v>412054.80870442267</v>
      </c>
      <c r="AO522" s="66">
        <v>804881.14689265017</v>
      </c>
      <c r="AP522" s="128">
        <f>+N522-'Приложение №2'!E531</f>
        <v>0</v>
      </c>
      <c r="AQ522" s="23">
        <v>620</v>
      </c>
      <c r="AR522" s="25">
        <f t="shared" si="329"/>
        <v>2281787.2770000002</v>
      </c>
      <c r="AS522" s="25">
        <f>+(K522*13.95+L522*23.65)*12*30</f>
        <v>80533668.600000009</v>
      </c>
      <c r="AT522" s="127">
        <f t="shared" si="285"/>
        <v>-80533668.600000009</v>
      </c>
      <c r="AU522" s="127">
        <f>+P522-'[6]Приложение №1'!$P489</f>
        <v>0</v>
      </c>
      <c r="AV522" s="127">
        <f>+Q522-'[6]Приложение №1'!$Q489</f>
        <v>0</v>
      </c>
      <c r="AW522" s="88">
        <f t="shared" si="291"/>
        <v>17956800</v>
      </c>
      <c r="AX522" s="64"/>
      <c r="AY522" s="64"/>
      <c r="AZ522" s="64"/>
      <c r="BA522" s="64"/>
      <c r="BB522" s="64"/>
      <c r="BC522" s="64"/>
      <c r="BD522" s="64"/>
      <c r="BE522" s="64">
        <f>5*3591360</f>
        <v>17956800</v>
      </c>
      <c r="BF522" s="64"/>
      <c r="BG522" s="64"/>
      <c r="BH522" s="64"/>
      <c r="BI522" s="64"/>
      <c r="BJ522" s="64"/>
      <c r="BK522" s="65"/>
      <c r="BL522" s="66"/>
    </row>
    <row r="523" spans="1:64" x14ac:dyDescent="0.25">
      <c r="A523" s="141">
        <f t="shared" si="293"/>
        <v>504</v>
      </c>
      <c r="B523" s="142">
        <f t="shared" si="294"/>
        <v>46</v>
      </c>
      <c r="C523" s="62" t="s">
        <v>82</v>
      </c>
      <c r="D523" s="62" t="s">
        <v>632</v>
      </c>
      <c r="E523" s="123">
        <v>1990</v>
      </c>
      <c r="F523" s="123">
        <v>2017</v>
      </c>
      <c r="G523" s="123" t="s">
        <v>43</v>
      </c>
      <c r="H523" s="123">
        <v>10</v>
      </c>
      <c r="I523" s="123">
        <v>3</v>
      </c>
      <c r="J523" s="64">
        <v>9593.2999999999993</v>
      </c>
      <c r="K523" s="64">
        <v>8146.5</v>
      </c>
      <c r="L523" s="64">
        <v>251.7</v>
      </c>
      <c r="M523" s="124">
        <v>290</v>
      </c>
      <c r="N523" s="95">
        <f>+P523+Q523+R523+S523+T523</f>
        <v>5964947.0233067526</v>
      </c>
      <c r="O523" s="64"/>
      <c r="P523" s="65"/>
      <c r="Q523" s="65"/>
      <c r="R523" s="65">
        <f>+AQ523+AR523</f>
        <v>5617381.3413607851</v>
      </c>
      <c r="S523" s="65">
        <f>+'Приложение №2'!E532-'Приложение №1'!R523</f>
        <v>347565.68194596749</v>
      </c>
      <c r="T523" s="65">
        <v>0</v>
      </c>
      <c r="U523" s="64">
        <f t="shared" ref="U523:V527" si="330">$N523/($K523+$L523)</f>
        <v>710.26494049995858</v>
      </c>
      <c r="V523" s="64">
        <f t="shared" si="330"/>
        <v>710.26494049995858</v>
      </c>
      <c r="W523" s="126">
        <v>2024</v>
      </c>
      <c r="X523" s="127" t="e">
        <f>+#REF!-'[1]Приложение №1'!$P1194</f>
        <v>#REF!</v>
      </c>
      <c r="Z523" s="63">
        <f>SUM(AA523:AO523)</f>
        <v>59075280.940424494</v>
      </c>
      <c r="AA523" s="64">
        <v>19753324.876629226</v>
      </c>
      <c r="AB523" s="64">
        <v>7903213.9091590643</v>
      </c>
      <c r="AC523" s="64">
        <v>5837297.1570079876</v>
      </c>
      <c r="AD523" s="64">
        <v>3730300.4891794757</v>
      </c>
      <c r="AE523" s="64">
        <v>0</v>
      </c>
      <c r="AF523" s="64"/>
      <c r="AG523" s="64">
        <v>877612.65381291229</v>
      </c>
      <c r="AH523" s="64">
        <v>0</v>
      </c>
      <c r="AI523" s="64">
        <v>0</v>
      </c>
      <c r="AJ523" s="64">
        <v>13734712.477877133</v>
      </c>
      <c r="AK523" s="64">
        <v>0</v>
      </c>
      <c r="AL523" s="64">
        <v>0</v>
      </c>
      <c r="AM523" s="64">
        <v>5514508.1395367021</v>
      </c>
      <c r="AN523" s="65">
        <v>590752.809404245</v>
      </c>
      <c r="AO523" s="66">
        <v>1133558.4278177479</v>
      </c>
      <c r="AP523" s="128">
        <f>+N523-'Приложение №2'!E532</f>
        <v>0</v>
      </c>
      <c r="AQ523" s="127">
        <f>5009993.34-R35</f>
        <v>4455241.5975607848</v>
      </c>
      <c r="AR523" s="25">
        <f>+(K523*13.29+L523*22.52)*12*0.85</f>
        <v>1162139.7437999998</v>
      </c>
      <c r="AS523" s="25">
        <f>+(K523*13.29+L523*22.52)*12*30-S35</f>
        <v>34517188.239999995</v>
      </c>
      <c r="AT523" s="127">
        <f>+S523-AS523</f>
        <v>-34169622.55805403</v>
      </c>
      <c r="AU523" s="127">
        <f>+P523-'[6]Приложение №1'!$P232</f>
        <v>0</v>
      </c>
      <c r="AV523" s="127">
        <f>+Q523-'[6]Приложение №1'!$Q232</f>
        <v>0</v>
      </c>
      <c r="AW523" s="63">
        <f>SUBTOTAL(9,AX523:BL523)</f>
        <v>5964947.0233067526</v>
      </c>
      <c r="AX523" s="64"/>
      <c r="AY523" s="64"/>
      <c r="AZ523" s="64">
        <v>5837297.1570079876</v>
      </c>
      <c r="BA523" s="64"/>
      <c r="BB523" s="64"/>
      <c r="BC523" s="64"/>
      <c r="BD523" s="64"/>
      <c r="BE523" s="64"/>
      <c r="BF523" s="64"/>
      <c r="BG523" s="64"/>
      <c r="BH523" s="64">
        <v>0</v>
      </c>
      <c r="BI523" s="64">
        <v>0</v>
      </c>
      <c r="BJ523" s="64"/>
      <c r="BK523" s="65"/>
      <c r="BL523" s="66">
        <v>127649.86629876452</v>
      </c>
    </row>
    <row r="524" spans="1:64" x14ac:dyDescent="0.25">
      <c r="A524" s="141">
        <f t="shared" si="293"/>
        <v>505</v>
      </c>
      <c r="B524" s="142">
        <f t="shared" si="294"/>
        <v>47</v>
      </c>
      <c r="C524" s="62" t="s">
        <v>82</v>
      </c>
      <c r="D524" s="62" t="s">
        <v>1001</v>
      </c>
      <c r="E524" s="123">
        <v>1990</v>
      </c>
      <c r="F524" s="123">
        <v>2017</v>
      </c>
      <c r="G524" s="123" t="s">
        <v>43</v>
      </c>
      <c r="H524" s="123">
        <v>9</v>
      </c>
      <c r="I524" s="123">
        <v>2</v>
      </c>
      <c r="J524" s="64">
        <v>9044.7000000000007</v>
      </c>
      <c r="K524" s="64">
        <v>7731.7</v>
      </c>
      <c r="L524" s="64">
        <v>0</v>
      </c>
      <c r="M524" s="124">
        <v>294</v>
      </c>
      <c r="N524" s="95">
        <f>+P524+Q524+R524+S524+T524</f>
        <v>4916517.9743421944</v>
      </c>
      <c r="O524" s="64"/>
      <c r="P524" s="65"/>
      <c r="Q524" s="65"/>
      <c r="R524" s="65">
        <f>+'Приложение №2'!E533</f>
        <v>4916517.9743421944</v>
      </c>
      <c r="S524" s="65">
        <f>+'Приложение №2'!E533-'Приложение №1'!R524</f>
        <v>0</v>
      </c>
      <c r="T524" s="65">
        <f>+'Приложение №2'!E533-'Приложение №1'!P524-'Приложение №1'!Q524-'Приложение №1'!R524-'Приложение №1'!S524</f>
        <v>0</v>
      </c>
      <c r="U524" s="64">
        <f t="shared" si="330"/>
        <v>635.89093916502122</v>
      </c>
      <c r="V524" s="64">
        <f t="shared" si="330"/>
        <v>635.89093916502122</v>
      </c>
      <c r="W524" s="126">
        <v>2024</v>
      </c>
      <c r="X524" s="127" t="e">
        <f>+#REF!-'[1]Приложение №1'!$P1107</f>
        <v>#REF!</v>
      </c>
      <c r="Z524" s="63">
        <f>SUM(AA524:AO524)</f>
        <v>55666319.910854891</v>
      </c>
      <c r="AA524" s="64">
        <v>18613451.927455012</v>
      </c>
      <c r="AB524" s="64">
        <v>7447156.0149639342</v>
      </c>
      <c r="AC524" s="64">
        <v>5500453.7563591562</v>
      </c>
      <c r="AD524" s="64">
        <v>3515042.1138698198</v>
      </c>
      <c r="AE524" s="64">
        <v>0</v>
      </c>
      <c r="AF524" s="64"/>
      <c r="AG524" s="64">
        <v>826969.68964449025</v>
      </c>
      <c r="AH524" s="64">
        <v>0</v>
      </c>
      <c r="AI524" s="64">
        <v>0</v>
      </c>
      <c r="AJ524" s="64">
        <v>12942145.792724269</v>
      </c>
      <c r="AK524" s="64">
        <v>0</v>
      </c>
      <c r="AL524" s="64">
        <v>0</v>
      </c>
      <c r="AM524" s="64">
        <v>5196291.3990376946</v>
      </c>
      <c r="AN524" s="65">
        <v>556663.19910854893</v>
      </c>
      <c r="AO524" s="66">
        <v>1068146.0176919652</v>
      </c>
      <c r="AP524" s="128">
        <f>+N524-'Приложение №2'!E533</f>
        <v>0</v>
      </c>
      <c r="AQ524" s="23">
        <v>4614966.51</v>
      </c>
      <c r="AR524" s="25">
        <f>+(K524*13.29+L524*22.52)*12*0.85</f>
        <v>1048093.7885999999</v>
      </c>
      <c r="AS524" s="25">
        <f>+(K524*13.29+L524*22.52)*12*30</f>
        <v>36991545.479999997</v>
      </c>
      <c r="AT524" s="127">
        <f>+S524-AS524</f>
        <v>-36991545.479999997</v>
      </c>
      <c r="AU524" s="127">
        <f>+P524-'[6]Приложение №1'!$P233</f>
        <v>0</v>
      </c>
      <c r="AV524" s="127">
        <f>+Q524-'[6]Приложение №1'!$Q233</f>
        <v>0</v>
      </c>
      <c r="AW524" s="63">
        <f>SUBTOTAL(9,AX524:BL524)</f>
        <v>4916517.9743421944</v>
      </c>
      <c r="AX524" s="64"/>
      <c r="AY524" s="64"/>
      <c r="AZ524" s="64"/>
      <c r="BA524" s="64"/>
      <c r="BB524" s="64">
        <v>0</v>
      </c>
      <c r="BC524" s="64"/>
      <c r="BD524" s="64"/>
      <c r="BE524" s="64">
        <v>0</v>
      </c>
      <c r="BF524" s="64">
        <v>0</v>
      </c>
      <c r="BG524" s="64">
        <v>3968655.74</v>
      </c>
      <c r="BH524" s="64">
        <v>0</v>
      </c>
      <c r="BI524" s="64">
        <v>0</v>
      </c>
      <c r="BJ524" s="64"/>
      <c r="BK524" s="65"/>
      <c r="BL524" s="66">
        <v>947862.23434219416</v>
      </c>
    </row>
    <row r="525" spans="1:64" x14ac:dyDescent="0.25">
      <c r="A525" s="141">
        <f t="shared" si="293"/>
        <v>506</v>
      </c>
      <c r="B525" s="142">
        <f t="shared" si="294"/>
        <v>48</v>
      </c>
      <c r="C525" s="62" t="s">
        <v>82</v>
      </c>
      <c r="D525" s="62" t="s">
        <v>1004</v>
      </c>
      <c r="E525" s="123">
        <v>1990</v>
      </c>
      <c r="F525" s="123">
        <v>2017</v>
      </c>
      <c r="G525" s="123" t="s">
        <v>43</v>
      </c>
      <c r="H525" s="123">
        <v>10</v>
      </c>
      <c r="I525" s="123">
        <v>1</v>
      </c>
      <c r="J525" s="64">
        <v>3562.9</v>
      </c>
      <c r="K525" s="64">
        <v>3045.6</v>
      </c>
      <c r="L525" s="64">
        <v>0</v>
      </c>
      <c r="M525" s="124">
        <v>121</v>
      </c>
      <c r="N525" s="95">
        <f>+P525+Q525+R525+S525+T525</f>
        <v>2204474.695667712</v>
      </c>
      <c r="O525" s="64"/>
      <c r="P525" s="65"/>
      <c r="Q525" s="65"/>
      <c r="R525" s="65">
        <f>+AQ525+AR525</f>
        <v>111696.62217059778</v>
      </c>
      <c r="S525" s="65">
        <f>+'Приложение №2'!E534-'Приложение №1'!R525</f>
        <v>2092778.0734971142</v>
      </c>
      <c r="T525" s="65">
        <v>0</v>
      </c>
      <c r="U525" s="64">
        <f t="shared" si="330"/>
        <v>723.82279211574473</v>
      </c>
      <c r="V525" s="64">
        <f t="shared" si="330"/>
        <v>723.82279211574473</v>
      </c>
      <c r="W525" s="126">
        <v>2024</v>
      </c>
      <c r="X525" s="127" t="e">
        <f>+#REF!-'[1]Приложение №1'!$P1198</f>
        <v>#REF!</v>
      </c>
      <c r="Z525" s="63">
        <f>SUM(AA525:AO525)</f>
        <v>21832542.931861956</v>
      </c>
      <c r="AA525" s="64">
        <v>7300266.8214297863</v>
      </c>
      <c r="AB525" s="64">
        <v>2920802.9860308608</v>
      </c>
      <c r="AC525" s="64">
        <v>2157298.9371804232</v>
      </c>
      <c r="AD525" s="64">
        <v>1378612.9203666104</v>
      </c>
      <c r="AE525" s="64">
        <v>0</v>
      </c>
      <c r="AF525" s="64"/>
      <c r="AG525" s="64">
        <v>324340.66562016815</v>
      </c>
      <c r="AH525" s="64">
        <v>0</v>
      </c>
      <c r="AI525" s="64">
        <v>0</v>
      </c>
      <c r="AJ525" s="64">
        <v>5075958.9299699729</v>
      </c>
      <c r="AK525" s="64">
        <v>0</v>
      </c>
      <c r="AL525" s="64">
        <v>0</v>
      </c>
      <c r="AM525" s="64">
        <v>2038005.3008288266</v>
      </c>
      <c r="AN525" s="65">
        <v>218325.4293186196</v>
      </c>
      <c r="AO525" s="66">
        <v>418930.94111669064</v>
      </c>
      <c r="AP525" s="128">
        <f>+N525-'Приложение №2'!E534</f>
        <v>0</v>
      </c>
      <c r="AQ525" s="127">
        <f>1845490.3-R39</f>
        <v>-301158.82262940216</v>
      </c>
      <c r="AR525" s="25">
        <f>+(K525*13.29+L525*22.52)*12*0.85</f>
        <v>412855.44479999994</v>
      </c>
      <c r="AS525" s="25">
        <f>+(K525*13.29+L525*22.52)*12*30-S39</f>
        <v>10152121.529999997</v>
      </c>
      <c r="AT525" s="127">
        <f>+S525-AS525</f>
        <v>-8059343.4565028828</v>
      </c>
      <c r="AU525" s="127">
        <f>+P525-'[6]Приложение №1'!$P234</f>
        <v>0</v>
      </c>
      <c r="AV525" s="127">
        <f>+Q525-'[6]Приложение №1'!$Q234</f>
        <v>0</v>
      </c>
      <c r="AW525" s="63">
        <f>SUBTOTAL(9,AX525:BL525)</f>
        <v>2204474.695667712</v>
      </c>
      <c r="AX525" s="64"/>
      <c r="AY525" s="64"/>
      <c r="AZ525" s="64">
        <v>2157298.9371804232</v>
      </c>
      <c r="BA525" s="64"/>
      <c r="BB525" s="64">
        <v>0</v>
      </c>
      <c r="BC525" s="64"/>
      <c r="BD525" s="64"/>
      <c r="BE525" s="64">
        <v>0</v>
      </c>
      <c r="BF525" s="64">
        <v>0</v>
      </c>
      <c r="BG525" s="64"/>
      <c r="BH525" s="64">
        <v>0</v>
      </c>
      <c r="BI525" s="64">
        <v>0</v>
      </c>
      <c r="BJ525" s="64"/>
      <c r="BK525" s="65"/>
      <c r="BL525" s="66">
        <v>47175.758487289037</v>
      </c>
    </row>
    <row r="526" spans="1:64" x14ac:dyDescent="0.25">
      <c r="A526" s="141">
        <f t="shared" si="293"/>
        <v>507</v>
      </c>
      <c r="B526" s="142">
        <f t="shared" si="294"/>
        <v>49</v>
      </c>
      <c r="C526" s="62" t="s">
        <v>82</v>
      </c>
      <c r="D526" s="62" t="s">
        <v>1005</v>
      </c>
      <c r="E526" s="123">
        <v>1990</v>
      </c>
      <c r="F526" s="123">
        <v>2017</v>
      </c>
      <c r="G526" s="123" t="s">
        <v>43</v>
      </c>
      <c r="H526" s="123">
        <v>9</v>
      </c>
      <c r="I526" s="123">
        <v>1</v>
      </c>
      <c r="J526" s="64">
        <v>3197.5</v>
      </c>
      <c r="K526" s="64">
        <v>2621.1</v>
      </c>
      <c r="L526" s="64">
        <v>132.4</v>
      </c>
      <c r="M526" s="124">
        <v>94</v>
      </c>
      <c r="N526" s="95">
        <f>+P526+Q526+R526+S526+T526</f>
        <v>1338332.7178491487</v>
      </c>
      <c r="O526" s="64"/>
      <c r="P526" s="65"/>
      <c r="Q526" s="65"/>
      <c r="R526" s="65">
        <f>+'Приложение №2'!E535</f>
        <v>1338332.7178491487</v>
      </c>
      <c r="S526" s="65">
        <f>+'Приложение №2'!E535-'Приложение №1'!R526</f>
        <v>0</v>
      </c>
      <c r="T526" s="65">
        <f>+'Приложение №2'!E535-'Приложение №1'!P526-'Приложение №1'!Q526-'Приложение №1'!R526-'Приложение №1'!S526</f>
        <v>0</v>
      </c>
      <c r="U526" s="64">
        <f t="shared" si="330"/>
        <v>486.04783651685079</v>
      </c>
      <c r="V526" s="64">
        <f t="shared" si="330"/>
        <v>486.04783651685079</v>
      </c>
      <c r="W526" s="126">
        <v>2024</v>
      </c>
      <c r="X526" s="127" t="e">
        <f>+#REF!-'[1]Приложение №1'!$P1109</f>
        <v>#REF!</v>
      </c>
      <c r="Z526" s="63">
        <f>SUM(AA526:AO526)</f>
        <v>19626786.772724856</v>
      </c>
      <c r="AA526" s="64">
        <v>6562716.0672657713</v>
      </c>
      <c r="AB526" s="64">
        <v>2625712.3410166483</v>
      </c>
      <c r="AC526" s="64">
        <v>1939345.6079399141</v>
      </c>
      <c r="AD526" s="64">
        <v>1239330.7510996102</v>
      </c>
      <c r="AE526" s="64">
        <v>0</v>
      </c>
      <c r="AF526" s="64"/>
      <c r="AG526" s="64">
        <v>291572.31503988599</v>
      </c>
      <c r="AH526" s="64">
        <v>0</v>
      </c>
      <c r="AI526" s="64">
        <v>0</v>
      </c>
      <c r="AJ526" s="64">
        <v>4563131.4637306379</v>
      </c>
      <c r="AK526" s="64">
        <v>0</v>
      </c>
      <c r="AL526" s="64">
        <v>0</v>
      </c>
      <c r="AM526" s="64">
        <v>1832104.2860598667</v>
      </c>
      <c r="AN526" s="65">
        <v>196267.86772724849</v>
      </c>
      <c r="AO526" s="66">
        <v>376606.07284526742</v>
      </c>
      <c r="AP526" s="128">
        <f>+N526-'Приложение №2'!E535</f>
        <v>0</v>
      </c>
      <c r="AQ526" s="23">
        <v>1678059.52</v>
      </c>
      <c r="AR526" s="25">
        <f>+(K526*13.29+L526*22.52)*12*0.85</f>
        <v>385723.88339999993</v>
      </c>
      <c r="AS526" s="25">
        <f>+(K526*13.29+L526*22.52)*12*30</f>
        <v>13613784.119999999</v>
      </c>
      <c r="AT526" s="127">
        <f>+S526-AS526</f>
        <v>-13613784.119999999</v>
      </c>
      <c r="AU526" s="127">
        <f>+P526-'[6]Приложение №1'!$P235</f>
        <v>0</v>
      </c>
      <c r="AV526" s="127">
        <f>+Q526-'[6]Приложение №1'!$Q235</f>
        <v>0</v>
      </c>
      <c r="AW526" s="63">
        <f>SUBTOTAL(9,AX526:BL526)</f>
        <v>1338332.7178491487</v>
      </c>
      <c r="AX526" s="64"/>
      <c r="AY526" s="64"/>
      <c r="AZ526" s="64"/>
      <c r="BA526" s="64"/>
      <c r="BB526" s="64"/>
      <c r="BC526" s="64"/>
      <c r="BD526" s="64"/>
      <c r="BE526" s="64">
        <v>0</v>
      </c>
      <c r="BF526" s="64">
        <v>0</v>
      </c>
      <c r="BG526" s="64">
        <v>1088656.8700000001</v>
      </c>
      <c r="BH526" s="64">
        <v>0</v>
      </c>
      <c r="BI526" s="64">
        <v>0</v>
      </c>
      <c r="BJ526" s="64"/>
      <c r="BK526" s="65"/>
      <c r="BL526" s="66">
        <v>249675.84784914847</v>
      </c>
    </row>
    <row r="527" spans="1:64" x14ac:dyDescent="0.25">
      <c r="A527" s="141">
        <f t="shared" si="293"/>
        <v>508</v>
      </c>
      <c r="B527" s="142">
        <f t="shared" si="294"/>
        <v>50</v>
      </c>
      <c r="C527" s="62" t="s">
        <v>82</v>
      </c>
      <c r="D527" s="62" t="s">
        <v>1116</v>
      </c>
      <c r="E527" s="123">
        <v>1990</v>
      </c>
      <c r="F527" s="123">
        <v>2017</v>
      </c>
      <c r="G527" s="123" t="s">
        <v>43</v>
      </c>
      <c r="H527" s="123">
        <v>9</v>
      </c>
      <c r="I527" s="123">
        <v>1</v>
      </c>
      <c r="J527" s="64">
        <v>3238.8</v>
      </c>
      <c r="K527" s="64">
        <v>2708.3</v>
      </c>
      <c r="L527" s="64">
        <v>76.599999999999994</v>
      </c>
      <c r="M527" s="124">
        <v>79</v>
      </c>
      <c r="N527" s="95">
        <f>+P527+Q527+R527+S527+T527</f>
        <v>2354342.2921141018</v>
      </c>
      <c r="O527" s="64"/>
      <c r="P527" s="65"/>
      <c r="Q527" s="65"/>
      <c r="R527" s="65">
        <f>+AQ527+AR527</f>
        <v>757569.21779999987</v>
      </c>
      <c r="S527" s="65">
        <f>+'Приложение №2'!E536-'Приложение №1'!R527</f>
        <v>1596773.0743141021</v>
      </c>
      <c r="T527" s="65">
        <v>0</v>
      </c>
      <c r="U527" s="64">
        <f t="shared" si="330"/>
        <v>845.39563076379829</v>
      </c>
      <c r="V527" s="64">
        <f t="shared" si="330"/>
        <v>845.39563076379829</v>
      </c>
      <c r="W527" s="126">
        <v>2024</v>
      </c>
      <c r="X527" s="127" t="e">
        <f>+#REF!-'[1]Приложение №1'!$P950</f>
        <v>#REF!</v>
      </c>
      <c r="Z527" s="63">
        <f>SUM(AA527:AO527)</f>
        <v>19952132.223097902</v>
      </c>
      <c r="AA527" s="64">
        <v>6671503.605404323</v>
      </c>
      <c r="AB527" s="64">
        <v>2669237.7318017208</v>
      </c>
      <c r="AC527" s="64">
        <v>1971493.3699526463</v>
      </c>
      <c r="AD527" s="64">
        <v>1259874.6448121567</v>
      </c>
      <c r="AE527" s="64">
        <v>0</v>
      </c>
      <c r="AF527" s="64"/>
      <c r="AG527" s="64">
        <v>296405.59352053836</v>
      </c>
      <c r="AH527" s="64">
        <v>0</v>
      </c>
      <c r="AI527" s="64">
        <v>0</v>
      </c>
      <c r="AJ527" s="64">
        <v>4638772.6819478758</v>
      </c>
      <c r="AK527" s="64">
        <v>0</v>
      </c>
      <c r="AL527" s="64">
        <v>0</v>
      </c>
      <c r="AM527" s="64">
        <v>1862474.3512662044</v>
      </c>
      <c r="AN527" s="65">
        <v>199521.32223097901</v>
      </c>
      <c r="AO527" s="66">
        <v>382848.92216145538</v>
      </c>
      <c r="AP527" s="128">
        <f>+N527-'Приложение №2'!E536</f>
        <v>0</v>
      </c>
      <c r="AQ527" s="23">
        <f>1684481.19-1311639.03</f>
        <v>372842.15999999992</v>
      </c>
      <c r="AR527" s="25">
        <f>+(K527*13.29+L527*22.52)*12*0.85</f>
        <v>384727.05779999995</v>
      </c>
      <c r="AS527" s="25">
        <f>+(K527*13.29+L527*22.52)*12*30-4612448.03</f>
        <v>8966154.0099999979</v>
      </c>
      <c r="AT527" s="127">
        <f>+S527-AS527</f>
        <v>-7369380.9356858954</v>
      </c>
      <c r="AU527" s="127">
        <f>+P527-'[6]Приложение №1'!$P236</f>
        <v>0</v>
      </c>
      <c r="AV527" s="127">
        <f>+Q527-'[6]Приложение №1'!$Q236</f>
        <v>0</v>
      </c>
      <c r="AW527" s="63">
        <f>SUBTOTAL(9,AX527:BL527)</f>
        <v>2354342.2921141018</v>
      </c>
      <c r="AX527" s="64"/>
      <c r="AY527" s="64"/>
      <c r="AZ527" s="64">
        <v>1971493.3699526463</v>
      </c>
      <c r="BA527" s="64"/>
      <c r="BB527" s="64">
        <v>0</v>
      </c>
      <c r="BC527" s="64"/>
      <c r="BD527" s="64"/>
      <c r="BE527" s="64">
        <v>0</v>
      </c>
      <c r="BF527" s="64">
        <v>0</v>
      </c>
      <c r="BG527" s="64"/>
      <c r="BH527" s="64">
        <v>0</v>
      </c>
      <c r="BI527" s="64">
        <v>0</v>
      </c>
      <c r="BJ527" s="64"/>
      <c r="BK527" s="65"/>
      <c r="BL527" s="66">
        <v>382848.92216145538</v>
      </c>
    </row>
    <row r="528" spans="1:64" x14ac:dyDescent="0.25">
      <c r="A528" s="141">
        <f t="shared" si="293"/>
        <v>509</v>
      </c>
      <c r="B528" s="142">
        <f t="shared" si="294"/>
        <v>51</v>
      </c>
      <c r="C528" s="62" t="s">
        <v>82</v>
      </c>
      <c r="D528" s="62" t="s">
        <v>1117</v>
      </c>
      <c r="E528" s="123">
        <v>1988</v>
      </c>
      <c r="F528" s="123">
        <v>2016</v>
      </c>
      <c r="G528" s="123" t="s">
        <v>43</v>
      </c>
      <c r="H528" s="123">
        <v>5</v>
      </c>
      <c r="I528" s="123">
        <v>6</v>
      </c>
      <c r="J528" s="64">
        <v>5149.1000000000004</v>
      </c>
      <c r="K528" s="64">
        <v>4596.3999999999996</v>
      </c>
      <c r="L528" s="64">
        <v>0</v>
      </c>
      <c r="M528" s="124">
        <v>197</v>
      </c>
      <c r="N528" s="63">
        <f t="shared" si="323"/>
        <v>25882743.187999997</v>
      </c>
      <c r="O528" s="64"/>
      <c r="P528" s="65">
        <v>2733720.5987020801</v>
      </c>
      <c r="Q528" s="65"/>
      <c r="R528" s="65">
        <f>+AQ528+AR528</f>
        <v>3131243.51</v>
      </c>
      <c r="S528" s="65">
        <f>+AS528</f>
        <v>17374391.999999996</v>
      </c>
      <c r="T528" s="65">
        <f>+'Приложение №2'!E537-'Приложение №1'!P528-'Приложение №1'!R528-'Приложение №1'!S528</f>
        <v>2643387.0792979188</v>
      </c>
      <c r="U528" s="65">
        <f t="shared" si="325"/>
        <v>5631.0902419284657</v>
      </c>
      <c r="V528" s="65">
        <v>1206.2830200640001</v>
      </c>
      <c r="W528" s="126">
        <v>2024</v>
      </c>
      <c r="X528" s="127" t="e">
        <f>+#REF!-'[1]Приложение №1'!$P951</f>
        <v>#REF!</v>
      </c>
      <c r="Z528" s="63">
        <f t="shared" si="327"/>
        <v>22653297.02870208</v>
      </c>
      <c r="AA528" s="64">
        <v>0</v>
      </c>
      <c r="AB528" s="64">
        <v>0</v>
      </c>
      <c r="AC528" s="64">
        <v>0</v>
      </c>
      <c r="AD528" s="64">
        <v>0</v>
      </c>
      <c r="AE528" s="64">
        <v>0</v>
      </c>
      <c r="AF528" s="64"/>
      <c r="AG528" s="64">
        <v>0</v>
      </c>
      <c r="AH528" s="64">
        <v>0</v>
      </c>
      <c r="AI528" s="64">
        <v>0</v>
      </c>
      <c r="AJ528" s="64">
        <v>0</v>
      </c>
      <c r="AK528" s="64">
        <v>22006228.384087857</v>
      </c>
      <c r="AL528" s="64">
        <v>0</v>
      </c>
      <c r="AM528" s="64">
        <v>141837</v>
      </c>
      <c r="AN528" s="64">
        <v>24000</v>
      </c>
      <c r="AO528" s="66">
        <v>481231.6446142245</v>
      </c>
      <c r="AP528" s="128">
        <f>+N528-'Приложение №2'!E537</f>
        <v>0</v>
      </c>
      <c r="AQ528" s="38">
        <v>2638969.0699999998</v>
      </c>
      <c r="AR528" s="25">
        <f>+(K528*10.5+L528*21)*12*0.85</f>
        <v>492274.43999999989</v>
      </c>
      <c r="AS528" s="25">
        <f>+(K528*10.5+L528*21)*12*30</f>
        <v>17374391.999999996</v>
      </c>
      <c r="AT528" s="127">
        <f t="shared" si="285"/>
        <v>0</v>
      </c>
      <c r="AU528" s="127">
        <f>+P528-'[6]Приложение №1'!$P491</f>
        <v>0</v>
      </c>
      <c r="AV528" s="127">
        <f>+Q528-'[6]Приложение №1'!$Q491</f>
        <v>0</v>
      </c>
      <c r="AW528" s="88">
        <f t="shared" si="291"/>
        <v>25882743.187999997</v>
      </c>
      <c r="AX528" s="64">
        <v>0</v>
      </c>
      <c r="AY528" s="64">
        <v>0</v>
      </c>
      <c r="AZ528" s="64">
        <v>0</v>
      </c>
      <c r="BA528" s="64">
        <v>0</v>
      </c>
      <c r="BB528" s="64">
        <v>0</v>
      </c>
      <c r="BC528" s="64"/>
      <c r="BD528" s="64"/>
      <c r="BE528" s="64">
        <v>0</v>
      </c>
      <c r="BF528" s="64">
        <v>0</v>
      </c>
      <c r="BG528" s="64">
        <v>0</v>
      </c>
      <c r="BH528" s="64">
        <v>25328852.483776797</v>
      </c>
      <c r="BI528" s="64">
        <v>0</v>
      </c>
      <c r="BJ528" s="64"/>
      <c r="BK528" s="64"/>
      <c r="BL528" s="66">
        <v>553890.70422319998</v>
      </c>
    </row>
    <row r="529" spans="1:64" x14ac:dyDescent="0.25">
      <c r="A529" s="141">
        <f t="shared" si="293"/>
        <v>510</v>
      </c>
      <c r="B529" s="142">
        <f t="shared" si="294"/>
        <v>52</v>
      </c>
      <c r="C529" s="62" t="s">
        <v>82</v>
      </c>
      <c r="D529" s="62" t="s">
        <v>655</v>
      </c>
      <c r="E529" s="123">
        <v>1994</v>
      </c>
      <c r="F529" s="123">
        <v>2017</v>
      </c>
      <c r="G529" s="123" t="s">
        <v>43</v>
      </c>
      <c r="H529" s="123">
        <v>10</v>
      </c>
      <c r="I529" s="123">
        <v>1</v>
      </c>
      <c r="J529" s="64">
        <v>3265.2</v>
      </c>
      <c r="K529" s="64">
        <v>2810.5</v>
      </c>
      <c r="L529" s="64">
        <v>0</v>
      </c>
      <c r="M529" s="124">
        <v>90</v>
      </c>
      <c r="N529" s="63">
        <f t="shared" si="323"/>
        <v>3346381.5039214548</v>
      </c>
      <c r="O529" s="64"/>
      <c r="P529" s="65"/>
      <c r="Q529" s="65"/>
      <c r="R529" s="65">
        <f>+AQ529+AR529</f>
        <v>2635455.7549999999</v>
      </c>
      <c r="S529" s="65">
        <f>+'Приложение №2'!E538-'Приложение №1'!R529</f>
        <v>710925.74892145488</v>
      </c>
      <c r="T529" s="65">
        <v>0</v>
      </c>
      <c r="U529" s="65">
        <f t="shared" si="325"/>
        <v>1190.6712342719995</v>
      </c>
      <c r="V529" s="65">
        <v>1207.2830200640001</v>
      </c>
      <c r="W529" s="126">
        <v>2024</v>
      </c>
      <c r="X529" s="127" t="e">
        <f>+#REF!-'[1]Приложение №1'!$P954</f>
        <v>#REF!</v>
      </c>
      <c r="Z529" s="63">
        <f t="shared" si="327"/>
        <v>3340785.3491203776</v>
      </c>
      <c r="AA529" s="64">
        <v>0</v>
      </c>
      <c r="AB529" s="64">
        <v>0</v>
      </c>
      <c r="AC529" s="64">
        <v>0</v>
      </c>
      <c r="AD529" s="64">
        <v>0</v>
      </c>
      <c r="AE529" s="64">
        <v>0</v>
      </c>
      <c r="AF529" s="64"/>
      <c r="AG529" s="64">
        <v>0</v>
      </c>
      <c r="AH529" s="64">
        <v>0</v>
      </c>
      <c r="AI529" s="64">
        <v>2942363.2883842816</v>
      </c>
      <c r="AJ529" s="64">
        <v>0</v>
      </c>
      <c r="AK529" s="64">
        <v>0</v>
      </c>
      <c r="AL529" s="64">
        <v>0</v>
      </c>
      <c r="AM529" s="64">
        <v>300670.68142083398</v>
      </c>
      <c r="AN529" s="65">
        <v>33407.853491203779</v>
      </c>
      <c r="AO529" s="66">
        <v>64343.525824058474</v>
      </c>
      <c r="AP529" s="128">
        <f>+N529-'Приложение №2'!E538</f>
        <v>0</v>
      </c>
      <c r="AQ529" s="38">
        <v>2235549.71</v>
      </c>
      <c r="AR529" s="25">
        <f t="shared" ref="AR529:AR530" si="331">+(K529*13.95+L529*23.65)*12*0.85</f>
        <v>399906.04499999993</v>
      </c>
      <c r="AS529" s="25">
        <f>+(K529*13.95+L529*23.65)*12*30</f>
        <v>14114330.999999998</v>
      </c>
      <c r="AT529" s="127">
        <f t="shared" si="285"/>
        <v>-13403405.251078542</v>
      </c>
      <c r="AU529" s="127">
        <f>+P529-'[6]Приложение №1'!$P492</f>
        <v>0</v>
      </c>
      <c r="AV529" s="127">
        <f>+Q529-'[6]Приложение №1'!$Q492</f>
        <v>0</v>
      </c>
      <c r="AW529" s="88">
        <f t="shared" si="291"/>
        <v>3346381.5039214548</v>
      </c>
      <c r="AX529" s="64">
        <v>0</v>
      </c>
      <c r="AY529" s="64">
        <v>0</v>
      </c>
      <c r="AZ529" s="64">
        <v>0</v>
      </c>
      <c r="BA529" s="64">
        <v>0</v>
      </c>
      <c r="BB529" s="64">
        <v>0</v>
      </c>
      <c r="BC529" s="64"/>
      <c r="BD529" s="64"/>
      <c r="BE529" s="64">
        <v>0</v>
      </c>
      <c r="BF529" s="64">
        <v>3174109.11127616</v>
      </c>
      <c r="BG529" s="64">
        <v>0</v>
      </c>
      <c r="BH529" s="64">
        <v>0</v>
      </c>
      <c r="BI529" s="64">
        <v>0</v>
      </c>
      <c r="BJ529" s="64">
        <v>69397.240000000005</v>
      </c>
      <c r="BK529" s="65">
        <v>33463.815039214562</v>
      </c>
      <c r="BL529" s="66">
        <v>69411.337606079964</v>
      </c>
    </row>
    <row r="530" spans="1:64" x14ac:dyDescent="0.25">
      <c r="A530" s="141">
        <f t="shared" si="293"/>
        <v>511</v>
      </c>
      <c r="B530" s="142">
        <f t="shared" si="294"/>
        <v>53</v>
      </c>
      <c r="C530" s="62" t="s">
        <v>82</v>
      </c>
      <c r="D530" s="62" t="s">
        <v>1118</v>
      </c>
      <c r="E530" s="123">
        <v>1989</v>
      </c>
      <c r="F530" s="123">
        <v>2017</v>
      </c>
      <c r="G530" s="123" t="s">
        <v>43</v>
      </c>
      <c r="H530" s="123">
        <v>10</v>
      </c>
      <c r="I530" s="123">
        <v>1</v>
      </c>
      <c r="J530" s="64">
        <v>3562.9</v>
      </c>
      <c r="K530" s="64">
        <v>3068</v>
      </c>
      <c r="L530" s="64">
        <v>0</v>
      </c>
      <c r="M530" s="124">
        <v>120</v>
      </c>
      <c r="N530" s="63">
        <f t="shared" si="323"/>
        <v>14456487.639332056</v>
      </c>
      <c r="O530" s="64"/>
      <c r="P530" s="65"/>
      <c r="Q530" s="65"/>
      <c r="R530" s="65">
        <f>+AQ530+AR530</f>
        <v>2793934.95</v>
      </c>
      <c r="S530" s="65">
        <f>+'Приложение №2'!E539-'Приложение №1'!R530</f>
        <v>11662552.689332057</v>
      </c>
      <c r="T530" s="65">
        <v>0</v>
      </c>
      <c r="U530" s="65">
        <f t="shared" si="325"/>
        <v>4712.0233504993666</v>
      </c>
      <c r="V530" s="65">
        <v>1208.2830200640001</v>
      </c>
      <c r="W530" s="126">
        <v>2024</v>
      </c>
      <c r="X530" s="127" t="e">
        <f>+#REF!-'[1]Приложение №1'!$P955</f>
        <v>#REF!</v>
      </c>
      <c r="Z530" s="63">
        <f t="shared" si="327"/>
        <v>21469720.476183783</v>
      </c>
      <c r="AA530" s="64">
        <v>7342919.2042241972</v>
      </c>
      <c r="AB530" s="64">
        <v>2937868.0070875632</v>
      </c>
      <c r="AC530" s="64">
        <v>0</v>
      </c>
      <c r="AD530" s="64">
        <v>0</v>
      </c>
      <c r="AE530" s="64">
        <v>0</v>
      </c>
      <c r="AF530" s="64"/>
      <c r="AG530" s="64">
        <v>326235.65145619493</v>
      </c>
      <c r="AH530" s="64">
        <v>0</v>
      </c>
      <c r="AI530" s="64">
        <v>3213549.8114351672</v>
      </c>
      <c r="AJ530" s="64">
        <v>5105615.6190507403</v>
      </c>
      <c r="AK530" s="64">
        <v>0</v>
      </c>
      <c r="AL530" s="64">
        <v>0</v>
      </c>
      <c r="AM530" s="64">
        <v>1914957.5722048364</v>
      </c>
      <c r="AN530" s="65">
        <v>214697.20476183784</v>
      </c>
      <c r="AO530" s="66">
        <v>413877.40596324624</v>
      </c>
      <c r="AP530" s="128">
        <f>+N530-'Приложение №2'!E539</f>
        <v>0</v>
      </c>
      <c r="AQ530" s="38">
        <v>2357389.23</v>
      </c>
      <c r="AR530" s="25">
        <f t="shared" si="331"/>
        <v>436545.72</v>
      </c>
      <c r="AS530" s="25">
        <f>+(K530*13.95+L530*23.65)*12*30</f>
        <v>15407495.999999998</v>
      </c>
      <c r="AT530" s="127">
        <f t="shared" si="285"/>
        <v>-3744943.3106679413</v>
      </c>
      <c r="AU530" s="127">
        <f>+P530-'[6]Приложение №1'!$P493</f>
        <v>0</v>
      </c>
      <c r="AV530" s="127">
        <f>+Q530-'[6]Приложение №1'!$Q493</f>
        <v>0</v>
      </c>
      <c r="AW530" s="88">
        <f t="shared" si="291"/>
        <v>14456487.639332058</v>
      </c>
      <c r="AX530" s="64"/>
      <c r="AY530" s="64">
        <v>3497984.6377121583</v>
      </c>
      <c r="AZ530" s="64">
        <v>0</v>
      </c>
      <c r="BA530" s="64">
        <v>0</v>
      </c>
      <c r="BB530" s="64">
        <v>0</v>
      </c>
      <c r="BC530" s="64"/>
      <c r="BD530" s="64">
        <v>0</v>
      </c>
      <c r="BE530" s="64"/>
      <c r="BF530" s="64">
        <v>3471145.3937748596</v>
      </c>
      <c r="BG530" s="64">
        <v>6079022.2564176768</v>
      </c>
      <c r="BH530" s="64">
        <v>0</v>
      </c>
      <c r="BI530" s="64">
        <v>0</v>
      </c>
      <c r="BJ530" s="64">
        <v>994007.83490775037</v>
      </c>
      <c r="BK530" s="65">
        <v>128990.85295824001</v>
      </c>
      <c r="BL530" s="66">
        <v>285336.66356137389</v>
      </c>
    </row>
    <row r="531" spans="1:64" x14ac:dyDescent="0.25">
      <c r="A531" s="141">
        <f t="shared" si="293"/>
        <v>512</v>
      </c>
      <c r="B531" s="142">
        <f t="shared" si="294"/>
        <v>54</v>
      </c>
      <c r="C531" s="62" t="s">
        <v>82</v>
      </c>
      <c r="D531" s="62" t="s">
        <v>656</v>
      </c>
      <c r="E531" s="123">
        <v>1989</v>
      </c>
      <c r="F531" s="123">
        <v>2016</v>
      </c>
      <c r="G531" s="123" t="s">
        <v>43</v>
      </c>
      <c r="H531" s="123">
        <v>5</v>
      </c>
      <c r="I531" s="123">
        <v>4</v>
      </c>
      <c r="J531" s="64">
        <v>5827.1</v>
      </c>
      <c r="K531" s="64">
        <v>4877.5</v>
      </c>
      <c r="L531" s="64">
        <v>0</v>
      </c>
      <c r="M531" s="124">
        <v>218</v>
      </c>
      <c r="N531" s="63">
        <f t="shared" si="323"/>
        <v>12984744.641494041</v>
      </c>
      <c r="O531" s="64"/>
      <c r="P531" s="65"/>
      <c r="Q531" s="65"/>
      <c r="R531" s="65">
        <f>+AQ531+AR531</f>
        <v>0</v>
      </c>
      <c r="S531" s="65">
        <f>+AS531</f>
        <v>11240653.637037162</v>
      </c>
      <c r="T531" s="65">
        <f>+'Приложение №2'!E540-S531</f>
        <v>1744091.0044568796</v>
      </c>
      <c r="U531" s="65">
        <f t="shared" si="325"/>
        <v>2662.1721458726893</v>
      </c>
      <c r="V531" s="65">
        <v>1209.2830200640001</v>
      </c>
      <c r="W531" s="126">
        <v>2024</v>
      </c>
      <c r="X531" s="127" t="e">
        <f>+#REF!-'[1]Приложение №1'!$P573</f>
        <v>#REF!</v>
      </c>
      <c r="Z531" s="63">
        <f t="shared" si="327"/>
        <v>20671116.862985976</v>
      </c>
      <c r="AA531" s="64">
        <v>9672123.3663251549</v>
      </c>
      <c r="AB531" s="64">
        <v>4139883.059433911</v>
      </c>
      <c r="AC531" s="64">
        <v>0</v>
      </c>
      <c r="AD531" s="64">
        <v>3903303.7014767192</v>
      </c>
      <c r="AE531" s="64">
        <v>0</v>
      </c>
      <c r="AF531" s="64"/>
      <c r="AG531" s="64">
        <v>401573.35786682391</v>
      </c>
      <c r="AH531" s="64">
        <v>0</v>
      </c>
      <c r="AI531" s="64">
        <v>0</v>
      </c>
      <c r="AJ531" s="64">
        <v>0</v>
      </c>
      <c r="AK531" s="64">
        <v>0</v>
      </c>
      <c r="AL531" s="64">
        <v>0</v>
      </c>
      <c r="AM531" s="64">
        <v>1951342.6603252462</v>
      </c>
      <c r="AN531" s="65">
        <v>206711.16862985978</v>
      </c>
      <c r="AO531" s="66">
        <v>396179.54892826063</v>
      </c>
      <c r="AP531" s="128">
        <f>+N531-'Приложение №2'!E540</f>
        <v>0</v>
      </c>
      <c r="AQ531" s="38">
        <f>2848311.76-R228</f>
        <v>-522380.25</v>
      </c>
      <c r="AR531" s="25">
        <f>+(K531*10.5+L531*21)*12*0.85</f>
        <v>522380.25</v>
      </c>
      <c r="AS531" s="25">
        <f>+(K531*10.5+L531*21)*12*30-S228</f>
        <v>11240653.637037162</v>
      </c>
      <c r="AT531" s="127">
        <f t="shared" si="285"/>
        <v>0</v>
      </c>
      <c r="AU531" s="127">
        <f>+P531-'[6]Приложение №1'!$P494</f>
        <v>0</v>
      </c>
      <c r="AV531" s="127">
        <f>+Q531-'[6]Приложение №1'!$Q494</f>
        <v>0</v>
      </c>
      <c r="AW531" s="88">
        <f t="shared" si="291"/>
        <v>12984744.641494041</v>
      </c>
      <c r="AX531" s="64"/>
      <c r="AY531" s="64">
        <v>7852851.4213333819</v>
      </c>
      <c r="AZ531" s="64">
        <v>0</v>
      </c>
      <c r="BA531" s="64">
        <v>4638601.5713897999</v>
      </c>
      <c r="BB531" s="64">
        <v>0</v>
      </c>
      <c r="BC531" s="64"/>
      <c r="BD531" s="64"/>
      <c r="BE531" s="64">
        <v>0</v>
      </c>
      <c r="BF531" s="64">
        <v>0</v>
      </c>
      <c r="BG531" s="64">
        <v>0</v>
      </c>
      <c r="BH531" s="64">
        <v>0</v>
      </c>
      <c r="BI531" s="64">
        <v>0</v>
      </c>
      <c r="BJ531" s="64"/>
      <c r="BK531" s="65"/>
      <c r="BL531" s="66">
        <v>493291.64877085871</v>
      </c>
    </row>
    <row r="532" spans="1:64" x14ac:dyDescent="0.25">
      <c r="A532" s="141">
        <f t="shared" si="293"/>
        <v>513</v>
      </c>
      <c r="B532" s="142">
        <f t="shared" si="294"/>
        <v>55</v>
      </c>
      <c r="C532" s="62" t="s">
        <v>82</v>
      </c>
      <c r="D532" s="62" t="s">
        <v>657</v>
      </c>
      <c r="E532" s="123">
        <v>1994</v>
      </c>
      <c r="F532" s="123">
        <v>1994</v>
      </c>
      <c r="G532" s="123" t="s">
        <v>43</v>
      </c>
      <c r="H532" s="123">
        <v>10</v>
      </c>
      <c r="I532" s="123">
        <v>1</v>
      </c>
      <c r="J532" s="64">
        <v>4860.7</v>
      </c>
      <c r="K532" s="64">
        <v>4172.3999999999996</v>
      </c>
      <c r="L532" s="64">
        <v>0</v>
      </c>
      <c r="M532" s="124">
        <v>162</v>
      </c>
      <c r="N532" s="63">
        <f t="shared" si="323"/>
        <v>4271050</v>
      </c>
      <c r="O532" s="64"/>
      <c r="P532" s="65"/>
      <c r="Q532" s="65"/>
      <c r="R532" s="65">
        <v>2136734.9907999998</v>
      </c>
      <c r="T532" s="65">
        <f>+'Приложение №2'!E541-'Приложение №1'!R532</f>
        <v>2134315.0092000002</v>
      </c>
      <c r="U532" s="65">
        <f t="shared" si="325"/>
        <v>1023.6434665899723</v>
      </c>
      <c r="V532" s="65">
        <v>1210.2830200640001</v>
      </c>
      <c r="W532" s="126">
        <v>2024</v>
      </c>
      <c r="X532" s="127"/>
      <c r="Z532" s="63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5"/>
      <c r="AO532" s="66"/>
      <c r="AP532" s="128">
        <f>+N532-'Приложение №2'!E541</f>
        <v>0</v>
      </c>
      <c r="AR532" s="25">
        <f t="shared" ref="AR532:AR535" si="332">+(K532*13.95+L532*23.65)*12*0.85</f>
        <v>593690.79599999986</v>
      </c>
      <c r="AS532" s="25">
        <f>+(K532*13.95+L532*23.65)*12*30</f>
        <v>20953792.799999997</v>
      </c>
      <c r="AT532" s="127">
        <f t="shared" si="285"/>
        <v>-20953792.799999997</v>
      </c>
      <c r="AU532" s="127">
        <f>+P532-'[6]Приложение №1'!$P495</f>
        <v>0</v>
      </c>
      <c r="AV532" s="127">
        <f>+Q532-'[6]Приложение №1'!$Q495</f>
        <v>0</v>
      </c>
      <c r="AW532" s="88">
        <f t="shared" si="291"/>
        <v>4271050</v>
      </c>
      <c r="AX532" s="64"/>
      <c r="AY532" s="64"/>
      <c r="AZ532" s="64"/>
      <c r="BA532" s="64"/>
      <c r="BB532" s="64"/>
      <c r="BC532" s="64"/>
      <c r="BD532" s="64"/>
      <c r="BE532" s="64">
        <v>4012463.5488</v>
      </c>
      <c r="BF532" s="64"/>
      <c r="BG532" s="64"/>
      <c r="BH532" s="64"/>
      <c r="BI532" s="64"/>
      <c r="BJ532" s="64">
        <v>128131.5</v>
      </c>
      <c r="BK532" s="65">
        <v>42710.5</v>
      </c>
      <c r="BL532" s="66">
        <v>87744.45120000001</v>
      </c>
    </row>
    <row r="533" spans="1:64" x14ac:dyDescent="0.25">
      <c r="A533" s="141">
        <f t="shared" si="293"/>
        <v>514</v>
      </c>
      <c r="B533" s="142">
        <f t="shared" si="294"/>
        <v>56</v>
      </c>
      <c r="C533" s="62" t="s">
        <v>82</v>
      </c>
      <c r="D533" s="62" t="s">
        <v>647</v>
      </c>
      <c r="E533" s="123">
        <v>1995</v>
      </c>
      <c r="F533" s="123">
        <v>1995</v>
      </c>
      <c r="G533" s="123" t="s">
        <v>43</v>
      </c>
      <c r="H533" s="123">
        <v>10</v>
      </c>
      <c r="I533" s="123">
        <v>1</v>
      </c>
      <c r="J533" s="64">
        <v>3279.6</v>
      </c>
      <c r="K533" s="64">
        <v>2806.4</v>
      </c>
      <c r="L533" s="64">
        <v>0</v>
      </c>
      <c r="M533" s="124">
        <v>105</v>
      </c>
      <c r="N533" s="95">
        <f>+P533+Q533+R533+S533+T533</f>
        <v>19703004.987476178</v>
      </c>
      <c r="O533" s="64"/>
      <c r="P533" s="65">
        <v>3772182.5490253926</v>
      </c>
      <c r="Q533" s="65"/>
      <c r="R533" s="65">
        <f>+AQ533+AR533</f>
        <v>1023686.0467999999</v>
      </c>
      <c r="S533" s="65">
        <f>+AS533</f>
        <v>7481735.5199999977</v>
      </c>
      <c r="T533" s="65">
        <f>+'Приложение №2'!E542-'Приложение №1'!P533-'Приложение №1'!R533-'Приложение №1'!S533</f>
        <v>7425400.8716507871</v>
      </c>
      <c r="U533" s="64">
        <f>$N533/($K533+$L533)</f>
        <v>7020.7400896081017</v>
      </c>
      <c r="V533" s="64">
        <f>$N533/($K533+$L533)</f>
        <v>7020.7400896081017</v>
      </c>
      <c r="W533" s="126">
        <v>2024</v>
      </c>
      <c r="X533" s="127" t="e">
        <f>+#REF!-'[1]Приложение №1'!$P1340</f>
        <v>#REF!</v>
      </c>
      <c r="Z533" s="63">
        <f>SUM(AA533:AO533)</f>
        <v>19818033.247476179</v>
      </c>
      <c r="AA533" s="64">
        <v>0</v>
      </c>
      <c r="AB533" s="64">
        <v>0</v>
      </c>
      <c r="AC533" s="64">
        <v>0</v>
      </c>
      <c r="AD533" s="64">
        <v>0</v>
      </c>
      <c r="AE533" s="64">
        <v>0</v>
      </c>
      <c r="AF533" s="64"/>
      <c r="AG533" s="64">
        <v>0</v>
      </c>
      <c r="AH533" s="64">
        <v>0</v>
      </c>
      <c r="AI533" s="64">
        <v>0</v>
      </c>
      <c r="AJ533" s="64">
        <v>0</v>
      </c>
      <c r="AK533" s="64">
        <v>19266518.528552189</v>
      </c>
      <c r="AL533" s="64">
        <v>0</v>
      </c>
      <c r="AM533" s="64">
        <v>106194.98</v>
      </c>
      <c r="AN533" s="64">
        <v>24000</v>
      </c>
      <c r="AO533" s="66">
        <v>421319.73892399028</v>
      </c>
      <c r="AP533" s="128">
        <f>+N533-'Приложение №2'!E542</f>
        <v>0</v>
      </c>
      <c r="AQ533" s="23">
        <f>1651544.69-504144.3-504144.3144</f>
        <v>643256.07559999987</v>
      </c>
      <c r="AR533" s="25">
        <f>+(K533*13.29+L533*22.52)*12*0.85</f>
        <v>380429.97119999997</v>
      </c>
      <c r="AS533" s="25">
        <f>+(K533*13.29+L533*22.52)*12*30-3285777.08-2659427.56</f>
        <v>7481735.5199999977</v>
      </c>
      <c r="AT533" s="127">
        <f>+S533-AS533</f>
        <v>0</v>
      </c>
      <c r="AU533" s="127">
        <f>+P533-'[6]Приложение №1'!$P253</f>
        <v>0</v>
      </c>
      <c r="AV533" s="127">
        <f>+Q533-'[6]Приложение №1'!$Q253</f>
        <v>0</v>
      </c>
      <c r="AW533" s="63">
        <f>SUBTOTAL(9,AX533:BL533)</f>
        <v>19703004.987476178</v>
      </c>
      <c r="AX533" s="64">
        <v>0</v>
      </c>
      <c r="AY533" s="64">
        <v>0</v>
      </c>
      <c r="AZ533" s="64">
        <v>0</v>
      </c>
      <c r="BA533" s="64">
        <v>0</v>
      </c>
      <c r="BB533" s="64">
        <v>0</v>
      </c>
      <c r="BC533" s="64"/>
      <c r="BD533" s="64"/>
      <c r="BE533" s="64">
        <v>0</v>
      </c>
      <c r="BF533" s="64">
        <v>0</v>
      </c>
      <c r="BG533" s="64">
        <v>0</v>
      </c>
      <c r="BH533" s="64">
        <v>19281360.680744186</v>
      </c>
      <c r="BI533" s="64">
        <v>0</v>
      </c>
      <c r="BJ533" s="64"/>
      <c r="BK533" s="64"/>
      <c r="BL533" s="66">
        <v>421644.30673199019</v>
      </c>
    </row>
    <row r="534" spans="1:64" x14ac:dyDescent="0.25">
      <c r="A534" s="141">
        <f t="shared" si="293"/>
        <v>515</v>
      </c>
      <c r="B534" s="142">
        <f t="shared" si="294"/>
        <v>57</v>
      </c>
      <c r="C534" s="62" t="s">
        <v>82</v>
      </c>
      <c r="D534" s="62" t="s">
        <v>1068</v>
      </c>
      <c r="E534" s="123">
        <v>1995</v>
      </c>
      <c r="F534" s="123">
        <v>2010</v>
      </c>
      <c r="G534" s="123" t="s">
        <v>43</v>
      </c>
      <c r="H534" s="123">
        <v>9</v>
      </c>
      <c r="I534" s="123">
        <v>1</v>
      </c>
      <c r="J534" s="64">
        <v>2996.5</v>
      </c>
      <c r="K534" s="64">
        <v>2550.1</v>
      </c>
      <c r="L534" s="64">
        <v>76.599999999999994</v>
      </c>
      <c r="M534" s="124">
        <v>83</v>
      </c>
      <c r="N534" s="63">
        <f t="shared" si="323"/>
        <v>6784277.0529123824</v>
      </c>
      <c r="O534" s="64"/>
      <c r="P534" s="65">
        <f>+'Приложение №2'!E543-'Приложение №1'!R534-'Приложение №1'!S534</f>
        <v>2694550.2619123813</v>
      </c>
      <c r="Q534" s="65"/>
      <c r="R534" s="65">
        <f>+AQ534+AR534</f>
        <v>824248.07100000023</v>
      </c>
      <c r="S534" s="65">
        <f>+AS534</f>
        <v>3265478.7200000007</v>
      </c>
      <c r="T534" s="65">
        <f>+'Приложение №2'!E543-'Приложение №1'!P534-'Приложение №1'!R534-'Приложение №1'!S534</f>
        <v>0</v>
      </c>
      <c r="U534" s="65">
        <f t="shared" si="325"/>
        <v>2660.396475790119</v>
      </c>
      <c r="V534" s="65">
        <v>1212.2830200640001</v>
      </c>
      <c r="W534" s="126">
        <v>2024</v>
      </c>
      <c r="X534" s="127" t="e">
        <f>+#REF!-'[1]Приложение №1'!$P1320</f>
        <v>#REF!</v>
      </c>
      <c r="Z534" s="63">
        <f t="shared" ref="Z534:Z543" si="333">SUM(AA534:AO534)</f>
        <v>13446173.905525668</v>
      </c>
      <c r="AA534" s="64">
        <v>6133316.7977849664</v>
      </c>
      <c r="AB534" s="64">
        <v>2453911.6795918704</v>
      </c>
      <c r="AC534" s="64">
        <v>1812454.0010526525</v>
      </c>
      <c r="AD534" s="64">
        <v>1158241.1970624225</v>
      </c>
      <c r="AE534" s="64">
        <v>0</v>
      </c>
      <c r="AF534" s="64"/>
      <c r="AG534" s="64">
        <v>272494.70482550462</v>
      </c>
      <c r="AH534" s="64">
        <v>0</v>
      </c>
      <c r="AI534" s="64">
        <v>0</v>
      </c>
      <c r="AJ534" s="64">
        <v>0</v>
      </c>
      <c r="AK534" s="64">
        <v>0</v>
      </c>
      <c r="AL534" s="64">
        <v>0</v>
      </c>
      <c r="AM534" s="64">
        <v>1222586.4968225325</v>
      </c>
      <c r="AN534" s="65">
        <v>134461.73905525671</v>
      </c>
      <c r="AO534" s="66">
        <v>258707.28933046467</v>
      </c>
      <c r="AP534" s="128">
        <f>+N534-'Приложение №2'!E543</f>
        <v>0</v>
      </c>
      <c r="AQ534" s="127">
        <f>1796182.34-R231</f>
        <v>442916.1240000003</v>
      </c>
      <c r="AR534" s="25">
        <f t="shared" si="332"/>
        <v>381331.94699999993</v>
      </c>
      <c r="AS534" s="25">
        <f>+(K534*13.95+L534*23.65)*12*30-S231</f>
        <v>3265478.7200000007</v>
      </c>
      <c r="AT534" s="127">
        <f t="shared" si="285"/>
        <v>0</v>
      </c>
      <c r="AU534" s="127">
        <f>+P534-'[6]Приложение №1'!$P497</f>
        <v>-395612.60153214447</v>
      </c>
      <c r="AV534" s="127">
        <f>+Q534-'[6]Приложение №1'!$Q497</f>
        <v>0</v>
      </c>
      <c r="AW534" s="88">
        <f t="shared" si="291"/>
        <v>6784277.0529123824</v>
      </c>
      <c r="AX534" s="64"/>
      <c r="AY534" s="64">
        <v>2994835.8043932607</v>
      </c>
      <c r="AZ534" s="64">
        <v>1812454.0010526525</v>
      </c>
      <c r="BA534" s="64">
        <v>1413556.2562963832</v>
      </c>
      <c r="BB534" s="64">
        <v>0</v>
      </c>
      <c r="BC534" s="64"/>
      <c r="BD534" s="64"/>
      <c r="BE534" s="64">
        <v>0</v>
      </c>
      <c r="BF534" s="64">
        <v>0</v>
      </c>
      <c r="BG534" s="64">
        <v>0</v>
      </c>
      <c r="BH534" s="64"/>
      <c r="BI534" s="64">
        <v>0</v>
      </c>
      <c r="BJ534" s="64"/>
      <c r="BK534" s="65"/>
      <c r="BL534" s="66">
        <v>563430.99117008597</v>
      </c>
    </row>
    <row r="535" spans="1:64" x14ac:dyDescent="0.25">
      <c r="A535" s="141">
        <f t="shared" si="293"/>
        <v>516</v>
      </c>
      <c r="B535" s="142">
        <f t="shared" si="294"/>
        <v>58</v>
      </c>
      <c r="C535" s="62" t="s">
        <v>82</v>
      </c>
      <c r="D535" s="62" t="s">
        <v>444</v>
      </c>
      <c r="E535" s="123">
        <v>1994</v>
      </c>
      <c r="F535" s="123">
        <v>1994</v>
      </c>
      <c r="G535" s="123" t="s">
        <v>43</v>
      </c>
      <c r="H535" s="123">
        <v>10</v>
      </c>
      <c r="I535" s="123">
        <v>1</v>
      </c>
      <c r="J535" s="64">
        <v>3166.2</v>
      </c>
      <c r="K535" s="64">
        <v>2444.1</v>
      </c>
      <c r="L535" s="64">
        <v>336.1</v>
      </c>
      <c r="M535" s="124">
        <v>81</v>
      </c>
      <c r="N535" s="63">
        <f t="shared" si="323"/>
        <v>8457334.6576008759</v>
      </c>
      <c r="O535" s="64"/>
      <c r="P535" s="65"/>
      <c r="Q535" s="65"/>
      <c r="R535" s="65">
        <f>+AQ535+AR535</f>
        <v>1286488.4719999998</v>
      </c>
      <c r="S535" s="65">
        <f>+'Приложение №2'!E544-'Приложение №1'!R535</f>
        <v>7170846.1856008759</v>
      </c>
      <c r="T535" s="65">
        <v>0</v>
      </c>
      <c r="U535" s="65">
        <f t="shared" si="325"/>
        <v>3460.3063121807113</v>
      </c>
      <c r="V535" s="65">
        <v>1213.2830200640001</v>
      </c>
      <c r="W535" s="126">
        <v>2024</v>
      </c>
      <c r="X535" s="127" t="e">
        <f>+#REF!-'[1]Приложение №1'!$P576</f>
        <v>#REF!</v>
      </c>
      <c r="Z535" s="63">
        <f t="shared" si="333"/>
        <v>9992018.8381021637</v>
      </c>
      <c r="AA535" s="64">
        <v>6623579.5797926262</v>
      </c>
      <c r="AB535" s="64">
        <v>0</v>
      </c>
      <c r="AC535" s="64">
        <v>1957331.3602554079</v>
      </c>
      <c r="AD535" s="64">
        <v>0</v>
      </c>
      <c r="AE535" s="64">
        <v>0</v>
      </c>
      <c r="AF535" s="64"/>
      <c r="AG535" s="64">
        <v>294276.39595196897</v>
      </c>
      <c r="AH535" s="64">
        <v>0</v>
      </c>
      <c r="AI535" s="64">
        <v>0</v>
      </c>
      <c r="AJ535" s="64">
        <v>0</v>
      </c>
      <c r="AK535" s="64">
        <v>0</v>
      </c>
      <c r="AL535" s="64">
        <v>0</v>
      </c>
      <c r="AM535" s="64">
        <v>822828.94197537948</v>
      </c>
      <c r="AN535" s="65">
        <v>99920.188381021639</v>
      </c>
      <c r="AO535" s="66">
        <v>194082.37174575933</v>
      </c>
      <c r="AP535" s="128">
        <f>+N535-'Приложение №2'!E544</f>
        <v>0</v>
      </c>
      <c r="AQ535" s="23">
        <f>2294994.9-363720.72-1073634.1</f>
        <v>857640.07999999984</v>
      </c>
      <c r="AR535" s="25">
        <f t="shared" si="332"/>
        <v>428848.39199999999</v>
      </c>
      <c r="AS535" s="25">
        <f>+(K535*13.95+L535*23.65)*12*30-166487.48-2093121.55</f>
        <v>12876216.57</v>
      </c>
      <c r="AT535" s="127">
        <f t="shared" si="285"/>
        <v>-5705370.3843991244</v>
      </c>
      <c r="AU535" s="127">
        <f>+P535-'[6]Приложение №1'!$P498</f>
        <v>0</v>
      </c>
      <c r="AV535" s="127">
        <f>+Q535-'[6]Приложение №1'!$Q498</f>
        <v>0</v>
      </c>
      <c r="AW535" s="88">
        <f t="shared" si="291"/>
        <v>8457334.6576008759</v>
      </c>
      <c r="AX535" s="64">
        <v>7922733.5666669495</v>
      </c>
      <c r="AY535" s="64">
        <v>0</v>
      </c>
      <c r="AZ535" s="64">
        <v>0</v>
      </c>
      <c r="BA535" s="64">
        <v>0</v>
      </c>
      <c r="BB535" s="64">
        <v>0</v>
      </c>
      <c r="BC535" s="64"/>
      <c r="BD535" s="64">
        <v>353614.12926126696</v>
      </c>
      <c r="BE535" s="64">
        <v>0</v>
      </c>
      <c r="BF535" s="64">
        <v>0</v>
      </c>
      <c r="BG535" s="64">
        <v>0</v>
      </c>
      <c r="BH535" s="64">
        <v>0</v>
      </c>
      <c r="BI535" s="64">
        <v>0</v>
      </c>
      <c r="BJ535" s="64"/>
      <c r="BK535" s="65"/>
      <c r="BL535" s="66">
        <v>180986.96167265877</v>
      </c>
    </row>
    <row r="536" spans="1:64" x14ac:dyDescent="0.25">
      <c r="A536" s="141">
        <f t="shared" si="293"/>
        <v>517</v>
      </c>
      <c r="B536" s="142">
        <f t="shared" si="294"/>
        <v>59</v>
      </c>
      <c r="C536" s="62" t="s">
        <v>82</v>
      </c>
      <c r="D536" s="62" t="s">
        <v>1007</v>
      </c>
      <c r="E536" s="123">
        <v>1990</v>
      </c>
      <c r="F536" s="123">
        <v>1990</v>
      </c>
      <c r="G536" s="123" t="s">
        <v>43</v>
      </c>
      <c r="H536" s="123">
        <v>5</v>
      </c>
      <c r="I536" s="123">
        <v>8</v>
      </c>
      <c r="J536" s="64">
        <v>7467.3</v>
      </c>
      <c r="K536" s="64">
        <v>6603.4</v>
      </c>
      <c r="L536" s="64">
        <v>0</v>
      </c>
      <c r="M536" s="124">
        <v>290</v>
      </c>
      <c r="N536" s="63">
        <f t="shared" si="323"/>
        <v>6634721.1916756146</v>
      </c>
      <c r="O536" s="64"/>
      <c r="P536" s="65">
        <v>1268562.6795129601</v>
      </c>
      <c r="Q536" s="65"/>
      <c r="R536" s="65">
        <f>+AR536</f>
        <v>707224.1399999999</v>
      </c>
      <c r="S536" s="65">
        <f>+'Приложение №2'!E545-'Приложение №1'!P536-R536</f>
        <v>4658934.3721626541</v>
      </c>
      <c r="T536" s="65">
        <f>+'Приложение №2'!E545-'Приложение №1'!P536-'Приложение №1'!Q536-'Приложение №1'!R536-'Приложение №1'!S536</f>
        <v>0</v>
      </c>
      <c r="U536" s="65">
        <f t="shared" si="325"/>
        <v>1004.7431916400059</v>
      </c>
      <c r="V536" s="65">
        <v>1214.2830200640001</v>
      </c>
      <c r="W536" s="126">
        <v>2024</v>
      </c>
      <c r="X536" s="127" t="e">
        <f>+#REF!-'[1]Приложение №1'!$P367</f>
        <v>#REF!</v>
      </c>
      <c r="Z536" s="63">
        <f t="shared" si="333"/>
        <v>55317447.938477099</v>
      </c>
      <c r="AA536" s="64">
        <v>0</v>
      </c>
      <c r="AB536" s="64">
        <v>0</v>
      </c>
      <c r="AC536" s="64">
        <v>5006928.9614249235</v>
      </c>
      <c r="AD536" s="64">
        <v>0</v>
      </c>
      <c r="AE536" s="64">
        <v>0</v>
      </c>
      <c r="AF536" s="64"/>
      <c r="AG536" s="64">
        <v>0</v>
      </c>
      <c r="AH536" s="64">
        <v>0</v>
      </c>
      <c r="AI536" s="64">
        <v>0</v>
      </c>
      <c r="AJ536" s="64">
        <v>0</v>
      </c>
      <c r="AK536" s="64">
        <v>43172023.590383455</v>
      </c>
      <c r="AL536" s="64">
        <v>0</v>
      </c>
      <c r="AM536" s="64">
        <v>5531744.793847709</v>
      </c>
      <c r="AN536" s="65">
        <v>553174.47938477097</v>
      </c>
      <c r="AO536" s="66">
        <v>1053576.1134362346</v>
      </c>
      <c r="AP536" s="128">
        <f>+N536-'Приложение №2'!E545</f>
        <v>0</v>
      </c>
      <c r="AQ536" s="127">
        <f>3981912.4-R44</f>
        <v>214049.36999999965</v>
      </c>
      <c r="AR536" s="25">
        <f>+(K536*10.5+L536*21)*12*0.85</f>
        <v>707224.1399999999</v>
      </c>
      <c r="AS536" s="25">
        <f>+(K536*10.5+L536*21)*12*30-S44</f>
        <v>19687190.88295538</v>
      </c>
      <c r="AT536" s="127">
        <f t="shared" si="285"/>
        <v>-15028256.510792725</v>
      </c>
      <c r="AU536" s="127">
        <f>+P536-'[6]Приложение №1'!$P499</f>
        <v>0</v>
      </c>
      <c r="AV536" s="127">
        <f>+Q536-'[6]Приложение №1'!$Q499</f>
        <v>0</v>
      </c>
      <c r="AW536" s="88">
        <f t="shared" si="291"/>
        <v>6634721.1916756136</v>
      </c>
      <c r="AX536" s="64">
        <v>0</v>
      </c>
      <c r="AY536" s="64">
        <v>0</v>
      </c>
      <c r="AZ536" s="64">
        <v>6492738.1581737557</v>
      </c>
      <c r="BA536" s="64">
        <v>0</v>
      </c>
      <c r="BB536" s="64">
        <v>0</v>
      </c>
      <c r="BC536" s="64"/>
      <c r="BD536" s="64"/>
      <c r="BE536" s="64">
        <v>0</v>
      </c>
      <c r="BF536" s="64">
        <v>0</v>
      </c>
      <c r="BG536" s="64">
        <v>0</v>
      </c>
      <c r="BH536" s="64"/>
      <c r="BI536" s="64">
        <v>0</v>
      </c>
      <c r="BJ536" s="64"/>
      <c r="BK536" s="65"/>
      <c r="BL536" s="66">
        <v>141983.03350185812</v>
      </c>
    </row>
    <row r="537" spans="1:64" x14ac:dyDescent="0.25">
      <c r="A537" s="141">
        <f t="shared" si="293"/>
        <v>518</v>
      </c>
      <c r="B537" s="142">
        <f t="shared" si="294"/>
        <v>60</v>
      </c>
      <c r="C537" s="62" t="s">
        <v>83</v>
      </c>
      <c r="D537" s="62" t="s">
        <v>1119</v>
      </c>
      <c r="E537" s="123">
        <v>1994</v>
      </c>
      <c r="F537" s="123">
        <v>2005</v>
      </c>
      <c r="G537" s="123" t="s">
        <v>43</v>
      </c>
      <c r="H537" s="123">
        <v>10</v>
      </c>
      <c r="I537" s="123">
        <v>1</v>
      </c>
      <c r="J537" s="64">
        <v>3221.8</v>
      </c>
      <c r="K537" s="64">
        <v>2772.9</v>
      </c>
      <c r="L537" s="64">
        <v>0</v>
      </c>
      <c r="M537" s="124">
        <v>100</v>
      </c>
      <c r="N537" s="63">
        <f t="shared" si="323"/>
        <v>3591360</v>
      </c>
      <c r="O537" s="64"/>
      <c r="P537" s="65">
        <v>1908022.4918</v>
      </c>
      <c r="Q537" s="65"/>
      <c r="R537" s="65">
        <v>1683337.5082</v>
      </c>
      <c r="S537" s="65">
        <f>+AS537</f>
        <v>0</v>
      </c>
      <c r="T537" s="65">
        <f>+'Приложение №2'!E546-'Приложение №1'!R537-P537</f>
        <v>0</v>
      </c>
      <c r="U537" s="65">
        <f t="shared" si="325"/>
        <v>1295.1639078221356</v>
      </c>
      <c r="V537" s="65">
        <v>1215.2830200640001</v>
      </c>
      <c r="W537" s="126">
        <v>2024</v>
      </c>
      <c r="X537" s="127" t="e">
        <f>+#REF!-'[1]Приложение №1'!$P187</f>
        <v>#REF!</v>
      </c>
      <c r="Z537" s="63">
        <f t="shared" si="333"/>
        <v>12312273.314337611</v>
      </c>
      <c r="AA537" s="64">
        <v>6644426.5309337154</v>
      </c>
      <c r="AB537" s="64">
        <v>2658404.3195578591</v>
      </c>
      <c r="AC537" s="64">
        <v>0</v>
      </c>
      <c r="AD537" s="64">
        <v>1254761.2968176242</v>
      </c>
      <c r="AE537" s="64">
        <v>0</v>
      </c>
      <c r="AF537" s="64"/>
      <c r="AG537" s="64">
        <v>295202.59689429664</v>
      </c>
      <c r="AH537" s="64">
        <v>0</v>
      </c>
      <c r="AI537" s="64">
        <v>0</v>
      </c>
      <c r="AJ537" s="64">
        <v>0</v>
      </c>
      <c r="AK537" s="64">
        <v>0</v>
      </c>
      <c r="AL537" s="64">
        <v>0</v>
      </c>
      <c r="AM537" s="64">
        <v>1099027.196559557</v>
      </c>
      <c r="AN537" s="65">
        <v>123122.73314337611</v>
      </c>
      <c r="AO537" s="66">
        <v>237328.64043118211</v>
      </c>
      <c r="AP537" s="128">
        <f>+N537-'Приложение №2'!E546</f>
        <v>0</v>
      </c>
      <c r="AR537" s="25">
        <f>+(K537*13.95+L537*23.65)*12*0.85</f>
        <v>394555.94099999999</v>
      </c>
      <c r="AT537" s="127">
        <f t="shared" si="285"/>
        <v>0</v>
      </c>
      <c r="AU537" s="127">
        <f>+P537-'[6]Приложение №1'!$P500</f>
        <v>0</v>
      </c>
      <c r="AV537" s="127">
        <f>+Q537-'[6]Приложение №1'!$Q500</f>
        <v>0</v>
      </c>
      <c r="AW537" s="88">
        <f t="shared" si="291"/>
        <v>3591360</v>
      </c>
      <c r="AX537" s="64"/>
      <c r="AY537" s="64"/>
      <c r="AZ537" s="64"/>
      <c r="BA537" s="64"/>
      <c r="BB537" s="64"/>
      <c r="BC537" s="64"/>
      <c r="BD537" s="64"/>
      <c r="BE537" s="64">
        <v>3388344.6460698778</v>
      </c>
      <c r="BF537" s="64"/>
      <c r="BG537" s="64"/>
      <c r="BH537" s="64"/>
      <c r="BI537" s="64"/>
      <c r="BJ537" s="64">
        <v>104919.11907839999</v>
      </c>
      <c r="BK537" s="65">
        <v>24000</v>
      </c>
      <c r="BL537" s="66">
        <v>74096.234851722242</v>
      </c>
    </row>
    <row r="538" spans="1:64" x14ac:dyDescent="0.25">
      <c r="A538" s="141">
        <f t="shared" si="293"/>
        <v>519</v>
      </c>
      <c r="B538" s="142">
        <f t="shared" si="294"/>
        <v>61</v>
      </c>
      <c r="C538" s="62" t="s">
        <v>82</v>
      </c>
      <c r="D538" s="62" t="s">
        <v>1120</v>
      </c>
      <c r="E538" s="123">
        <v>1985</v>
      </c>
      <c r="F538" s="123">
        <v>2009</v>
      </c>
      <c r="G538" s="123" t="s">
        <v>43</v>
      </c>
      <c r="H538" s="123">
        <v>5</v>
      </c>
      <c r="I538" s="123">
        <v>4</v>
      </c>
      <c r="J538" s="64">
        <v>5739.1</v>
      </c>
      <c r="K538" s="64">
        <v>4751.1000000000004</v>
      </c>
      <c r="L538" s="64">
        <v>96</v>
      </c>
      <c r="M538" s="124">
        <v>191</v>
      </c>
      <c r="N538" s="63">
        <f t="shared" si="323"/>
        <v>4870090.7241982725</v>
      </c>
      <c r="O538" s="64"/>
      <c r="P538" s="65"/>
      <c r="Q538" s="65"/>
      <c r="R538" s="65">
        <f t="shared" ref="R538:R543" si="334">+AQ538+AR538</f>
        <v>2669241.4799999995</v>
      </c>
      <c r="S538" s="65">
        <f>+'Приложение №2'!E547-'Приложение №1'!R538</f>
        <v>2200849.2441982729</v>
      </c>
      <c r="T538" s="65">
        <v>0</v>
      </c>
      <c r="U538" s="65">
        <f t="shared" si="325"/>
        <v>1025.0448789118882</v>
      </c>
      <c r="V538" s="65">
        <v>1216.2830200640001</v>
      </c>
      <c r="W538" s="126">
        <v>2024</v>
      </c>
      <c r="X538" s="127">
        <f>+S538-'[1]Приложение №1'!$P579</f>
        <v>-1983366.3389108474</v>
      </c>
      <c r="Z538" s="63">
        <f t="shared" si="333"/>
        <v>4184215.5831091204</v>
      </c>
      <c r="AA538" s="64">
        <v>0</v>
      </c>
      <c r="AB538" s="64">
        <v>0</v>
      </c>
      <c r="AC538" s="64">
        <v>3644259.2989712209</v>
      </c>
      <c r="AD538" s="64">
        <v>0</v>
      </c>
      <c r="AE538" s="64">
        <v>0</v>
      </c>
      <c r="AF538" s="64"/>
      <c r="AG538" s="64">
        <v>0</v>
      </c>
      <c r="AH538" s="64">
        <v>0</v>
      </c>
      <c r="AI538" s="64">
        <v>0</v>
      </c>
      <c r="AJ538" s="64">
        <v>0</v>
      </c>
      <c r="AK538" s="64">
        <v>0</v>
      </c>
      <c r="AL538" s="64">
        <v>0</v>
      </c>
      <c r="AM538" s="64">
        <v>418421.55831091205</v>
      </c>
      <c r="AN538" s="65">
        <v>41842.155831091208</v>
      </c>
      <c r="AO538" s="66">
        <v>79692.569995896309</v>
      </c>
      <c r="AP538" s="128">
        <f>+N538-'Приложение №2'!E547</f>
        <v>0</v>
      </c>
      <c r="AQ538" s="23">
        <f>2850620.51-710785.04</f>
        <v>2139835.4699999997</v>
      </c>
      <c r="AR538" s="25">
        <f t="shared" ref="AR538:AR543" si="335">+(K538*10.5+L538*21)*12*0.85</f>
        <v>529406.01</v>
      </c>
      <c r="AS538" s="25">
        <f>+(K538*10.5+L538*21)*12*30-979982.96</f>
        <v>17704935.040000003</v>
      </c>
      <c r="AT538" s="127">
        <f t="shared" si="285"/>
        <v>-15504085.795801729</v>
      </c>
      <c r="AU538" s="127">
        <f>+P538-'[6]Приложение №1'!$P501</f>
        <v>0</v>
      </c>
      <c r="AV538" s="127">
        <f>+Q538-'[6]Приложение №1'!$Q501</f>
        <v>0</v>
      </c>
      <c r="AW538" s="88">
        <f t="shared" si="291"/>
        <v>4870090.7241982725</v>
      </c>
      <c r="AX538" s="64">
        <v>0</v>
      </c>
      <c r="AY538" s="64">
        <v>0</v>
      </c>
      <c r="AZ538" s="64">
        <v>4765870.7827004297</v>
      </c>
      <c r="BA538" s="64">
        <v>0</v>
      </c>
      <c r="BB538" s="64">
        <v>0</v>
      </c>
      <c r="BC538" s="64"/>
      <c r="BD538" s="64"/>
      <c r="BE538" s="64">
        <v>0</v>
      </c>
      <c r="BF538" s="64">
        <v>0</v>
      </c>
      <c r="BG538" s="64">
        <v>0</v>
      </c>
      <c r="BH538" s="64">
        <v>0</v>
      </c>
      <c r="BI538" s="64">
        <v>0</v>
      </c>
      <c r="BJ538" s="64"/>
      <c r="BK538" s="65"/>
      <c r="BL538" s="66">
        <v>104219.94149784304</v>
      </c>
    </row>
    <row r="539" spans="1:64" x14ac:dyDescent="0.25">
      <c r="A539" s="141">
        <f t="shared" si="293"/>
        <v>520</v>
      </c>
      <c r="B539" s="142">
        <f t="shared" si="294"/>
        <v>62</v>
      </c>
      <c r="C539" s="62" t="s">
        <v>82</v>
      </c>
      <c r="D539" s="62" t="s">
        <v>658</v>
      </c>
      <c r="E539" s="123">
        <v>1986</v>
      </c>
      <c r="F539" s="123">
        <v>2016</v>
      </c>
      <c r="G539" s="123" t="s">
        <v>43</v>
      </c>
      <c r="H539" s="123">
        <v>5</v>
      </c>
      <c r="I539" s="123">
        <v>3</v>
      </c>
      <c r="J539" s="64">
        <v>4418.7</v>
      </c>
      <c r="K539" s="64">
        <v>3551.6</v>
      </c>
      <c r="L539" s="64">
        <v>167.4</v>
      </c>
      <c r="M539" s="124">
        <v>164</v>
      </c>
      <c r="N539" s="63">
        <f t="shared" si="323"/>
        <v>7639006.5090553984</v>
      </c>
      <c r="O539" s="64"/>
      <c r="P539" s="65"/>
      <c r="Q539" s="65"/>
      <c r="R539" s="65">
        <f t="shared" si="334"/>
        <v>2552454.02</v>
      </c>
      <c r="S539" s="65">
        <f>+'Приложение №2'!E548-'Приложение №1'!R539</f>
        <v>5086552.4890553989</v>
      </c>
      <c r="T539" s="65">
        <v>0</v>
      </c>
      <c r="U539" s="65">
        <f t="shared" si="325"/>
        <v>2150.8634162223784</v>
      </c>
      <c r="V539" s="65">
        <v>1217.2830200640001</v>
      </c>
      <c r="W539" s="126">
        <v>2024</v>
      </c>
      <c r="X539" s="127" t="e">
        <f>+#REF!-'[1]Приложение №1'!$P580</f>
        <v>#REF!</v>
      </c>
      <c r="Z539" s="63">
        <f t="shared" si="333"/>
        <v>6409594.9059999995</v>
      </c>
      <c r="AA539" s="64">
        <v>0</v>
      </c>
      <c r="AB539" s="64">
        <v>0</v>
      </c>
      <c r="AC539" s="64">
        <v>0</v>
      </c>
      <c r="AD539" s="64">
        <v>0</v>
      </c>
      <c r="AE539" s="64">
        <v>0</v>
      </c>
      <c r="AF539" s="64"/>
      <c r="AG539" s="64">
        <v>0</v>
      </c>
      <c r="AH539" s="64">
        <v>0</v>
      </c>
      <c r="AI539" s="64">
        <v>0</v>
      </c>
      <c r="AJ539" s="64">
        <v>5582462.3217603238</v>
      </c>
      <c r="AK539" s="64">
        <v>0</v>
      </c>
      <c r="AL539" s="64">
        <v>0</v>
      </c>
      <c r="AM539" s="64">
        <v>640959.49060000002</v>
      </c>
      <c r="AN539" s="65">
        <v>64095.949059999999</v>
      </c>
      <c r="AO539" s="66">
        <v>122077.14457967599</v>
      </c>
      <c r="AP539" s="128">
        <f>+N539-'Приложение №2'!E548</f>
        <v>0</v>
      </c>
      <c r="AQ539" s="23">
        <v>2136220.58</v>
      </c>
      <c r="AR539" s="25">
        <f t="shared" si="335"/>
        <v>416233.43999999994</v>
      </c>
      <c r="AS539" s="25">
        <f>+(K539*10.5+L539*21)*12*30</f>
        <v>14690591.999999998</v>
      </c>
      <c r="AT539" s="127">
        <f t="shared" si="285"/>
        <v>-9604039.5109445993</v>
      </c>
      <c r="AU539" s="127">
        <f>+P539-'[6]Приложение №1'!$P502</f>
        <v>0</v>
      </c>
      <c r="AV539" s="127">
        <f>+Q539-'[6]Приложение №1'!$Q502</f>
        <v>0</v>
      </c>
      <c r="AW539" s="88">
        <f t="shared" si="291"/>
        <v>7639006.5090553984</v>
      </c>
      <c r="AX539" s="64">
        <v>0</v>
      </c>
      <c r="AY539" s="64">
        <v>0</v>
      </c>
      <c r="AZ539" s="64">
        <v>0</v>
      </c>
      <c r="BA539" s="64">
        <v>0</v>
      </c>
      <c r="BB539" s="64">
        <v>0</v>
      </c>
      <c r="BC539" s="64"/>
      <c r="BD539" s="64"/>
      <c r="BE539" s="64">
        <v>0</v>
      </c>
      <c r="BF539" s="64">
        <v>0</v>
      </c>
      <c r="BG539" s="64">
        <v>7475531.7697616126</v>
      </c>
      <c r="BH539" s="64">
        <v>0</v>
      </c>
      <c r="BI539" s="64">
        <v>0</v>
      </c>
      <c r="BJ539" s="64"/>
      <c r="BK539" s="65"/>
      <c r="BL539" s="66">
        <v>163474.73929378553</v>
      </c>
    </row>
    <row r="540" spans="1:64" x14ac:dyDescent="0.25">
      <c r="A540" s="141">
        <f t="shared" si="293"/>
        <v>521</v>
      </c>
      <c r="B540" s="142">
        <f t="shared" si="294"/>
        <v>63</v>
      </c>
      <c r="C540" s="62" t="s">
        <v>82</v>
      </c>
      <c r="D540" s="62" t="s">
        <v>1121</v>
      </c>
      <c r="E540" s="123">
        <v>1985</v>
      </c>
      <c r="F540" s="123">
        <v>2015</v>
      </c>
      <c r="G540" s="123" t="s">
        <v>43</v>
      </c>
      <c r="H540" s="123">
        <v>5</v>
      </c>
      <c r="I540" s="123">
        <v>3</v>
      </c>
      <c r="J540" s="64">
        <v>6741.3</v>
      </c>
      <c r="K540" s="64">
        <v>3901.9</v>
      </c>
      <c r="L540" s="64">
        <v>698.1</v>
      </c>
      <c r="M540" s="124">
        <v>305</v>
      </c>
      <c r="N540" s="63">
        <f t="shared" si="323"/>
        <v>9448623.270141121</v>
      </c>
      <c r="O540" s="64"/>
      <c r="P540" s="65"/>
      <c r="Q540" s="65"/>
      <c r="R540" s="65">
        <f t="shared" si="334"/>
        <v>2678224.9699999997</v>
      </c>
      <c r="S540" s="65">
        <f>+'Приложение №2'!E549-'Приложение №1'!R540</f>
        <v>6770398.3001411213</v>
      </c>
      <c r="T540" s="65">
        <v>4.6566128730773926E-10</v>
      </c>
      <c r="U540" s="65">
        <f t="shared" si="325"/>
        <v>2421.5441887647353</v>
      </c>
      <c r="V540" s="65">
        <v>1218.2830200640001</v>
      </c>
      <c r="W540" s="126">
        <v>2024</v>
      </c>
      <c r="X540" s="127" t="e">
        <f>+#REF!-'[1]Приложение №1'!$P583</f>
        <v>#REF!</v>
      </c>
      <c r="Z540" s="63">
        <f t="shared" si="333"/>
        <v>8492822.8320000004</v>
      </c>
      <c r="AA540" s="64">
        <v>0</v>
      </c>
      <c r="AB540" s="64">
        <v>0</v>
      </c>
      <c r="AC540" s="64">
        <v>0</v>
      </c>
      <c r="AD540" s="64">
        <v>0</v>
      </c>
      <c r="AE540" s="64">
        <v>0</v>
      </c>
      <c r="AF540" s="64"/>
      <c r="AG540" s="64">
        <v>0</v>
      </c>
      <c r="AH540" s="64">
        <v>0</v>
      </c>
      <c r="AI540" s="64">
        <v>0</v>
      </c>
      <c r="AJ540" s="64">
        <v>7396858.0168217281</v>
      </c>
      <c r="AK540" s="64">
        <v>0</v>
      </c>
      <c r="AL540" s="64">
        <v>0</v>
      </c>
      <c r="AM540" s="64">
        <v>849282.28320000006</v>
      </c>
      <c r="AN540" s="65">
        <v>84928.228320000009</v>
      </c>
      <c r="AO540" s="66">
        <v>161754.30365827202</v>
      </c>
      <c r="AP540" s="128">
        <f>+N540-'Приложение №2'!E549</f>
        <v>0</v>
      </c>
      <c r="AQ540" s="23">
        <f>2863169.63-752371.17</f>
        <v>2110798.46</v>
      </c>
      <c r="AR540" s="25">
        <f t="shared" si="335"/>
        <v>567426.51</v>
      </c>
      <c r="AS540" s="25">
        <f>+(K540*10.5+L540*21)*12*30-895524.57</f>
        <v>19131293.430000003</v>
      </c>
      <c r="AT540" s="127">
        <f t="shared" si="285"/>
        <v>-12360895.129858881</v>
      </c>
      <c r="AU540" s="127">
        <f>+P540-'[6]Приложение №1'!$P503</f>
        <v>0</v>
      </c>
      <c r="AV540" s="127">
        <f>+Q540-'[6]Приложение №1'!$Q503</f>
        <v>0</v>
      </c>
      <c r="AW540" s="88">
        <f t="shared" si="291"/>
        <v>9448623.270141121</v>
      </c>
      <c r="AX540" s="64">
        <v>0</v>
      </c>
      <c r="AY540" s="64">
        <v>0</v>
      </c>
      <c r="AZ540" s="64">
        <v>0</v>
      </c>
      <c r="BA540" s="64">
        <v>0</v>
      </c>
      <c r="BB540" s="64">
        <v>0</v>
      </c>
      <c r="BC540" s="64"/>
      <c r="BD540" s="64"/>
      <c r="BE540" s="64">
        <v>0</v>
      </c>
      <c r="BF540" s="64">
        <v>0</v>
      </c>
      <c r="BG540" s="64">
        <v>9246422.7321601007</v>
      </c>
      <c r="BH540" s="64">
        <v>0</v>
      </c>
      <c r="BI540" s="64">
        <v>0</v>
      </c>
      <c r="BJ540" s="64"/>
      <c r="BK540" s="65"/>
      <c r="BL540" s="66">
        <v>202200.53798102</v>
      </c>
    </row>
    <row r="541" spans="1:64" x14ac:dyDescent="0.25">
      <c r="A541" s="141">
        <f t="shared" si="293"/>
        <v>522</v>
      </c>
      <c r="B541" s="142">
        <f t="shared" si="294"/>
        <v>64</v>
      </c>
      <c r="C541" s="62" t="s">
        <v>82</v>
      </c>
      <c r="D541" s="62" t="s">
        <v>450</v>
      </c>
      <c r="E541" s="123">
        <v>1995</v>
      </c>
      <c r="F541" s="123">
        <v>2002</v>
      </c>
      <c r="G541" s="123" t="s">
        <v>43</v>
      </c>
      <c r="H541" s="123">
        <v>10</v>
      </c>
      <c r="I541" s="123">
        <v>1</v>
      </c>
      <c r="J541" s="64">
        <v>3274.9</v>
      </c>
      <c r="K541" s="64">
        <v>3274.9</v>
      </c>
      <c r="L541" s="64">
        <v>0</v>
      </c>
      <c r="M541" s="124">
        <v>107</v>
      </c>
      <c r="N541" s="95">
        <f>+P541+Q541+R541+S541+T541</f>
        <v>8051900.4295911137</v>
      </c>
      <c r="O541" s="64"/>
      <c r="P541" s="65"/>
      <c r="Q541" s="65"/>
      <c r="R541" s="65">
        <f t="shared" si="334"/>
        <v>1883122.0537999999</v>
      </c>
      <c r="S541" s="65">
        <f>+'Приложение №2'!E550-'Приложение №1'!R541</f>
        <v>6168778.3757911138</v>
      </c>
      <c r="T541" s="65">
        <v>0</v>
      </c>
      <c r="U541" s="64">
        <f>$N541/($K541+$L541)</f>
        <v>2458.6706249323988</v>
      </c>
      <c r="V541" s="64">
        <f>$N541/($K541+$L541)</f>
        <v>2458.6706249323988</v>
      </c>
      <c r="W541" s="126">
        <v>2024</v>
      </c>
      <c r="X541" s="127" t="e">
        <f>+#REF!-'[1]Приложение №1'!$P1348</f>
        <v>#REF!</v>
      </c>
      <c r="Z541" s="63">
        <f>SUM(AA541:AO541)</f>
        <v>13763058.555082263</v>
      </c>
      <c r="AA541" s="64">
        <v>6414391.2079975698</v>
      </c>
      <c r="AB541" s="64">
        <v>0</v>
      </c>
      <c r="AC541" s="64">
        <v>0</v>
      </c>
      <c r="AD541" s="64">
        <v>1211320.4642977021</v>
      </c>
      <c r="AE541" s="64">
        <v>0</v>
      </c>
      <c r="AF541" s="64"/>
      <c r="AG541" s="64">
        <v>0</v>
      </c>
      <c r="AH541" s="64">
        <v>0</v>
      </c>
      <c r="AI541" s="64">
        <v>0</v>
      </c>
      <c r="AJ541" s="64">
        <v>4459999.4943992067</v>
      </c>
      <c r="AK541" s="64">
        <v>0</v>
      </c>
      <c r="AL541" s="64">
        <v>0</v>
      </c>
      <c r="AM541" s="64">
        <v>1275426.7773237173</v>
      </c>
      <c r="AN541" s="65">
        <v>137630.58555082261</v>
      </c>
      <c r="AO541" s="66">
        <v>264290.02551324526</v>
      </c>
      <c r="AP541" s="128">
        <f>+N541-'Приложение №2'!E550</f>
        <v>0</v>
      </c>
      <c r="AQ541" s="23">
        <f>2154157.37-126729.3148-588244.8956</f>
        <v>1439183.1595999999</v>
      </c>
      <c r="AR541" s="25">
        <f>+(K541*13.29+L541*22.52)*12*0.85</f>
        <v>443938.89419999992</v>
      </c>
      <c r="AS541" s="25">
        <f>+(K541*13.29+L541*22.52)*12*30-1139379.7452-2540032.37</f>
        <v>11989019.444799997</v>
      </c>
      <c r="AT541" s="127">
        <f>+S541-AS541</f>
        <v>-5820241.0690088831</v>
      </c>
      <c r="AU541" s="127">
        <f>+P541-'[6]Приложение №1'!$P254</f>
        <v>-16600042.59</v>
      </c>
      <c r="AV541" s="127">
        <f>+Q541-'[6]Приложение №1'!$Q254</f>
        <v>0</v>
      </c>
      <c r="AW541" s="63">
        <f>SUBTOTAL(9,AX541:BL541)</f>
        <v>8051900.4295911137</v>
      </c>
      <c r="AX541" s="64">
        <v>6588114.6970215756</v>
      </c>
      <c r="AY541" s="64">
        <v>0</v>
      </c>
      <c r="AZ541" s="64">
        <v>0</v>
      </c>
      <c r="BA541" s="64">
        <v>1196031.0741961454</v>
      </c>
      <c r="BB541" s="64">
        <v>0</v>
      </c>
      <c r="BC541" s="64"/>
      <c r="BD541" s="64"/>
      <c r="BE541" s="64">
        <v>0</v>
      </c>
      <c r="BF541" s="64">
        <v>0</v>
      </c>
      <c r="BG541" s="64"/>
      <c r="BH541" s="64">
        <v>0</v>
      </c>
      <c r="BI541" s="64">
        <v>0</v>
      </c>
      <c r="BJ541" s="64"/>
      <c r="BK541" s="65"/>
      <c r="BL541" s="66">
        <v>267754.65837339283</v>
      </c>
    </row>
    <row r="542" spans="1:64" x14ac:dyDescent="0.25">
      <c r="A542" s="141">
        <f t="shared" si="293"/>
        <v>523</v>
      </c>
      <c r="B542" s="142">
        <f t="shared" si="294"/>
        <v>65</v>
      </c>
      <c r="C542" s="62" t="s">
        <v>82</v>
      </c>
      <c r="D542" s="62" t="s">
        <v>659</v>
      </c>
      <c r="E542" s="123">
        <v>1996</v>
      </c>
      <c r="F542" s="123">
        <v>1996</v>
      </c>
      <c r="G542" s="123" t="s">
        <v>43</v>
      </c>
      <c r="H542" s="123">
        <v>3</v>
      </c>
      <c r="I542" s="123">
        <v>3</v>
      </c>
      <c r="J542" s="64">
        <v>2048.3000000000002</v>
      </c>
      <c r="K542" s="64">
        <v>1683.6</v>
      </c>
      <c r="L542" s="64">
        <v>86.8</v>
      </c>
      <c r="M542" s="124">
        <v>51</v>
      </c>
      <c r="N542" s="63">
        <f t="shared" si="323"/>
        <v>13076420.522556204</v>
      </c>
      <c r="O542" s="64"/>
      <c r="P542" s="65">
        <v>1188980.4111846876</v>
      </c>
      <c r="Q542" s="65"/>
      <c r="R542" s="65">
        <f t="shared" si="334"/>
        <v>1249817.3099999998</v>
      </c>
      <c r="S542" s="65">
        <f>+AS542</f>
        <v>7020215.9999999991</v>
      </c>
      <c r="T542" s="65">
        <f>+'Приложение №2'!E551-'Приложение №1'!P542-'Приложение №1'!R542-'Приложение №1'!S542</f>
        <v>3617406.8013715176</v>
      </c>
      <c r="U542" s="65">
        <f t="shared" si="325"/>
        <v>7766.9402010906424</v>
      </c>
      <c r="V542" s="65">
        <v>1219.2830200640001</v>
      </c>
      <c r="W542" s="126">
        <v>2024</v>
      </c>
      <c r="X542" s="127" t="e">
        <f>+#REF!-'[1]Приложение №1'!$P588</f>
        <v>#REF!</v>
      </c>
      <c r="Z542" s="63">
        <f t="shared" si="333"/>
        <v>33805835.966304243</v>
      </c>
      <c r="AA542" s="64">
        <v>6700361.0893385699</v>
      </c>
      <c r="AB542" s="64">
        <v>3490874.7316903411</v>
      </c>
      <c r="AC542" s="64">
        <v>1444478.386687834</v>
      </c>
      <c r="AD542" s="64">
        <v>0</v>
      </c>
      <c r="AE542" s="64">
        <v>0</v>
      </c>
      <c r="AF542" s="64"/>
      <c r="AG542" s="64">
        <v>547643.04082610249</v>
      </c>
      <c r="AH542" s="64">
        <v>0</v>
      </c>
      <c r="AI542" s="64">
        <v>0</v>
      </c>
      <c r="AJ542" s="64">
        <v>0</v>
      </c>
      <c r="AK542" s="64">
        <v>17457525.241583157</v>
      </c>
      <c r="AL542" s="64">
        <v>0</v>
      </c>
      <c r="AM542" s="64">
        <v>3178709.049390018</v>
      </c>
      <c r="AN542" s="65">
        <v>338058.35966304236</v>
      </c>
      <c r="AO542" s="66">
        <v>648186.06712517515</v>
      </c>
      <c r="AP542" s="128">
        <f>+N542-'Приложение №2'!E551</f>
        <v>0</v>
      </c>
      <c r="AQ542" s="38">
        <v>1050911.19</v>
      </c>
      <c r="AR542" s="25">
        <f t="shared" si="335"/>
        <v>198906.11999999997</v>
      </c>
      <c r="AS542" s="25">
        <f>+(K542*10.5+L542*21)*12*30</f>
        <v>7020215.9999999991</v>
      </c>
      <c r="AT542" s="127">
        <f t="shared" si="285"/>
        <v>0</v>
      </c>
      <c r="AU542" s="127">
        <f>+P542-'[6]Приложение №1'!$P504</f>
        <v>0</v>
      </c>
      <c r="AV542" s="127">
        <f>+Q542-'[6]Приложение №1'!$Q504</f>
        <v>0</v>
      </c>
      <c r="AW542" s="88">
        <f t="shared" si="291"/>
        <v>13076420.522556204</v>
      </c>
      <c r="AX542" s="64">
        <v>7984235.7978000082</v>
      </c>
      <c r="AY542" s="64">
        <v>4159770.8879819368</v>
      </c>
      <c r="AZ542" s="64">
        <v>0</v>
      </c>
      <c r="BA542" s="64">
        <v>0</v>
      </c>
      <c r="BB542" s="64">
        <v>0</v>
      </c>
      <c r="BC542" s="64"/>
      <c r="BD542" s="64">
        <v>652578.43759155576</v>
      </c>
      <c r="BE542" s="64">
        <v>0</v>
      </c>
      <c r="BF542" s="64"/>
      <c r="BG542" s="64"/>
      <c r="BH542" s="64"/>
      <c r="BI542" s="64">
        <v>0</v>
      </c>
      <c r="BJ542" s="64"/>
      <c r="BK542" s="65"/>
      <c r="BL542" s="66">
        <v>279835.39918270282</v>
      </c>
    </row>
    <row r="543" spans="1:64" x14ac:dyDescent="0.25">
      <c r="A543" s="141">
        <f t="shared" si="293"/>
        <v>524</v>
      </c>
      <c r="B543" s="142">
        <f t="shared" si="294"/>
        <v>66</v>
      </c>
      <c r="C543" s="62" t="s">
        <v>82</v>
      </c>
      <c r="D543" s="62" t="s">
        <v>1122</v>
      </c>
      <c r="E543" s="123">
        <v>1986</v>
      </c>
      <c r="F543" s="123">
        <v>2016</v>
      </c>
      <c r="G543" s="123" t="s">
        <v>43</v>
      </c>
      <c r="H543" s="123">
        <v>5</v>
      </c>
      <c r="I543" s="123">
        <v>4</v>
      </c>
      <c r="J543" s="64">
        <v>3396.9</v>
      </c>
      <c r="K543" s="64">
        <v>3059.2</v>
      </c>
      <c r="L543" s="64">
        <v>0</v>
      </c>
      <c r="M543" s="124">
        <v>122</v>
      </c>
      <c r="N543" s="63">
        <f t="shared" si="323"/>
        <v>17930144.012118228</v>
      </c>
      <c r="O543" s="64"/>
      <c r="P543" s="65"/>
      <c r="Q543" s="65"/>
      <c r="R543" s="65">
        <f t="shared" si="334"/>
        <v>2179656.3199999998</v>
      </c>
      <c r="S543" s="65">
        <f>+AS543</f>
        <v>11563775.999999998</v>
      </c>
      <c r="T543" s="65">
        <f>+'Приложение №2'!E552-'Приложение №1'!P543-'Приложение №1'!R543-'Приложение №1'!S543</f>
        <v>4186711.6921182293</v>
      </c>
      <c r="U543" s="65">
        <f t="shared" si="325"/>
        <v>5861.0564893168894</v>
      </c>
      <c r="V543" s="65">
        <v>1220.2830200640001</v>
      </c>
      <c r="W543" s="126">
        <v>2024</v>
      </c>
      <c r="X543" s="127" t="e">
        <f>+#REF!-'[1]Приложение №1'!$P589</f>
        <v>#REF!</v>
      </c>
      <c r="Z543" s="63">
        <f t="shared" si="333"/>
        <v>12428415.848861372</v>
      </c>
      <c r="AA543" s="64">
        <v>6061746.8582748314</v>
      </c>
      <c r="AB543" s="64">
        <v>2605155.66</v>
      </c>
      <c r="AC543" s="64">
        <v>2187734.91</v>
      </c>
      <c r="AD543" s="64">
        <v>0</v>
      </c>
      <c r="AE543" s="64">
        <v>0</v>
      </c>
      <c r="AF543" s="64"/>
      <c r="AG543" s="64">
        <v>251675.45410878723</v>
      </c>
      <c r="AH543" s="64">
        <v>0</v>
      </c>
      <c r="AI543" s="64">
        <v>0</v>
      </c>
      <c r="AJ543" s="64">
        <v>0</v>
      </c>
      <c r="AK543" s="64">
        <v>0</v>
      </c>
      <c r="AL543" s="64">
        <v>0</v>
      </c>
      <c r="AM543" s="64">
        <v>1074948.6007849383</v>
      </c>
      <c r="AN543" s="65">
        <v>77360.2219424137</v>
      </c>
      <c r="AO543" s="66">
        <v>169794.14375039996</v>
      </c>
      <c r="AP543" s="128">
        <f>+N543-'Приложение №2'!E552</f>
        <v>0</v>
      </c>
      <c r="AQ543" s="38">
        <v>1852016</v>
      </c>
      <c r="AR543" s="25">
        <f t="shared" si="335"/>
        <v>327640.31999999995</v>
      </c>
      <c r="AS543" s="25">
        <f>+(K543*10.5+L543*21)*12*30</f>
        <v>11563775.999999998</v>
      </c>
      <c r="AT543" s="127">
        <f t="shared" si="285"/>
        <v>0</v>
      </c>
      <c r="AU543" s="127">
        <f>+P543-'[6]Приложение №1'!$P505</f>
        <v>0</v>
      </c>
      <c r="AV543" s="127">
        <f>+Q543-'[6]Приложение №1'!$Q505</f>
        <v>0</v>
      </c>
      <c r="AW543" s="88">
        <f t="shared" si="291"/>
        <v>17930144.012118228</v>
      </c>
      <c r="AX543" s="64">
        <v>10224281.589162949</v>
      </c>
      <c r="AY543" s="64">
        <v>4925359.931961678</v>
      </c>
      <c r="AZ543" s="64">
        <v>2187734.91</v>
      </c>
      <c r="BA543" s="64">
        <v>0</v>
      </c>
      <c r="BB543" s="64">
        <v>0</v>
      </c>
      <c r="BC543" s="64"/>
      <c r="BD543" s="64">
        <v>330229.41716311924</v>
      </c>
      <c r="BE543" s="64">
        <v>0</v>
      </c>
      <c r="BF543" s="64">
        <v>0</v>
      </c>
      <c r="BG543" s="64">
        <v>0</v>
      </c>
      <c r="BH543" s="64">
        <v>0</v>
      </c>
      <c r="BI543" s="64">
        <v>0</v>
      </c>
      <c r="BJ543" s="64"/>
      <c r="BK543" s="65"/>
      <c r="BL543" s="66">
        <v>262538.16383048223</v>
      </c>
    </row>
    <row r="544" spans="1:64" x14ac:dyDescent="0.25">
      <c r="A544" s="141">
        <f t="shared" ref="A544:A607" si="336">+A543+1</f>
        <v>525</v>
      </c>
      <c r="B544" s="142">
        <f t="shared" ref="B544:B607" si="337">+B543+1</f>
        <v>67</v>
      </c>
      <c r="C544" s="62" t="s">
        <v>83</v>
      </c>
      <c r="D544" s="62" t="s">
        <v>660</v>
      </c>
      <c r="E544" s="123" t="s">
        <v>119</v>
      </c>
      <c r="F544" s="123"/>
      <c r="G544" s="123" t="s">
        <v>43</v>
      </c>
      <c r="H544" s="123" t="s">
        <v>97</v>
      </c>
      <c r="I544" s="123" t="s">
        <v>105</v>
      </c>
      <c r="J544" s="64">
        <v>11653.5</v>
      </c>
      <c r="K544" s="64">
        <v>8349.17</v>
      </c>
      <c r="L544" s="64">
        <v>926.4</v>
      </c>
      <c r="M544" s="124">
        <v>357</v>
      </c>
      <c r="N544" s="63">
        <f t="shared" si="323"/>
        <v>14365440</v>
      </c>
      <c r="O544" s="64"/>
      <c r="P544" s="65">
        <v>6919946.5199999996</v>
      </c>
      <c r="Q544" s="65"/>
      <c r="R544" s="65">
        <v>7445493.4800000004</v>
      </c>
      <c r="S544" s="65"/>
      <c r="T544" s="65"/>
      <c r="U544" s="65">
        <f t="shared" ref="U544:U547" si="338">N544/K544</f>
        <v>1720.5830040590861</v>
      </c>
      <c r="V544" s="65">
        <v>1221.2830200640001</v>
      </c>
      <c r="W544" s="126">
        <v>2024</v>
      </c>
      <c r="X544" s="127"/>
      <c r="Z544" s="63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  <c r="AN544" s="65"/>
      <c r="AO544" s="66"/>
      <c r="AP544" s="128">
        <f>+N544-'Приложение №2'!E553</f>
        <v>0</v>
      </c>
      <c r="AT544" s="127">
        <f t="shared" si="285"/>
        <v>0</v>
      </c>
      <c r="AU544" s="127"/>
      <c r="AV544" s="127"/>
      <c r="AW544" s="88">
        <f t="shared" si="291"/>
        <v>14365440</v>
      </c>
      <c r="AX544" s="64"/>
      <c r="AY544" s="64"/>
      <c r="AZ544" s="64"/>
      <c r="BA544" s="64"/>
      <c r="BB544" s="64"/>
      <c r="BC544" s="64"/>
      <c r="BD544" s="64"/>
      <c r="BE544" s="64">
        <v>13495698.80064</v>
      </c>
      <c r="BF544" s="64"/>
      <c r="BG544" s="64"/>
      <c r="BH544" s="64"/>
      <c r="BI544" s="64"/>
      <c r="BJ544" s="64">
        <v>430963.20000000001</v>
      </c>
      <c r="BK544" s="65">
        <v>143654.39999999999</v>
      </c>
      <c r="BL544" s="66">
        <v>295123.59935999999</v>
      </c>
    </row>
    <row r="545" spans="1:64" x14ac:dyDescent="0.25">
      <c r="A545" s="141">
        <f t="shared" si="336"/>
        <v>526</v>
      </c>
      <c r="B545" s="142">
        <f t="shared" si="337"/>
        <v>68</v>
      </c>
      <c r="C545" s="62" t="s">
        <v>82</v>
      </c>
      <c r="D545" s="62" t="s">
        <v>1009</v>
      </c>
      <c r="E545" s="123">
        <v>1983</v>
      </c>
      <c r="F545" s="123">
        <v>2008</v>
      </c>
      <c r="G545" s="123" t="s">
        <v>43</v>
      </c>
      <c r="H545" s="123">
        <v>5</v>
      </c>
      <c r="I545" s="123">
        <v>3</v>
      </c>
      <c r="J545" s="64">
        <v>5132.1000000000004</v>
      </c>
      <c r="K545" s="64">
        <v>4364.6000000000004</v>
      </c>
      <c r="L545" s="64">
        <v>0</v>
      </c>
      <c r="M545" s="124">
        <v>197</v>
      </c>
      <c r="N545" s="95">
        <f>+P545+Q545+R545+S545+T545</f>
        <v>3347402.022785434</v>
      </c>
      <c r="O545" s="64"/>
      <c r="P545" s="65">
        <v>822035.24829823943</v>
      </c>
      <c r="Q545" s="65"/>
      <c r="R545" s="65">
        <f>+AQ545+AR545</f>
        <v>0</v>
      </c>
      <c r="S545" s="65">
        <f>+'Приложение №2'!E554-'Приложение №1'!P545</f>
        <v>2525366.7744871946</v>
      </c>
      <c r="T545" s="65">
        <v>0</v>
      </c>
      <c r="U545" s="65">
        <f t="shared" si="338"/>
        <v>766.94359684402548</v>
      </c>
      <c r="V545" s="65">
        <v>1222.2830200640001</v>
      </c>
      <c r="W545" s="126">
        <v>2024</v>
      </c>
      <c r="X545" s="127" t="e">
        <f>+#REF!-'[1]Приложение №1'!$P1205</f>
        <v>#REF!</v>
      </c>
      <c r="Z545" s="63">
        <f>SUM(AA545:AO545)</f>
        <v>38187844.389634863</v>
      </c>
      <c r="AA545" s="64">
        <v>8573356.2018279508</v>
      </c>
      <c r="AB545" s="64">
        <v>3669586.3729378125</v>
      </c>
      <c r="AC545" s="64">
        <v>3275767.6194978259</v>
      </c>
      <c r="AD545" s="64">
        <v>3459882.7712624557</v>
      </c>
      <c r="AE545" s="64">
        <v>0</v>
      </c>
      <c r="AF545" s="64"/>
      <c r="AG545" s="64">
        <v>355954.04522476508</v>
      </c>
      <c r="AH545" s="64">
        <v>0</v>
      </c>
      <c r="AI545" s="64">
        <v>14183322.770203391</v>
      </c>
      <c r="AJ545" s="64">
        <v>0</v>
      </c>
      <c r="AK545" s="64">
        <v>0</v>
      </c>
      <c r="AL545" s="64">
        <v>0</v>
      </c>
      <c r="AM545" s="64">
        <v>3555128.2378351944</v>
      </c>
      <c r="AN545" s="65">
        <v>381878.4438963487</v>
      </c>
      <c r="AO545" s="66">
        <v>732967.9269491313</v>
      </c>
      <c r="AP545" s="128">
        <f>+N545-'Приложение №2'!E554</f>
        <v>0</v>
      </c>
      <c r="AQ545" s="127">
        <f>2036649.87-R50</f>
        <v>-445189.20000000019</v>
      </c>
      <c r="AR545" s="25">
        <f>+(K545*10+L545*20)*12*0.85</f>
        <v>445189.2</v>
      </c>
      <c r="AS545" s="25">
        <f>+(K545*10+L545*20)*12*30-S50</f>
        <v>7049848.428146027</v>
      </c>
      <c r="AT545" s="127">
        <f>+S545-AS545</f>
        <v>-4524481.6536588324</v>
      </c>
      <c r="AU545" s="127">
        <f>+P545-'[6]Приложение №1'!$P238</f>
        <v>0</v>
      </c>
      <c r="AV545" s="127">
        <f>+Q545-'[6]Приложение №1'!$Q238</f>
        <v>0</v>
      </c>
      <c r="AW545" s="63">
        <f>SUBTOTAL(9,AX545:BL545)</f>
        <v>3347402.022785434</v>
      </c>
      <c r="AX545" s="64"/>
      <c r="AY545" s="64"/>
      <c r="AZ545" s="64">
        <v>3275767.6194978259</v>
      </c>
      <c r="BA545" s="64"/>
      <c r="BB545" s="64"/>
      <c r="BC545" s="64"/>
      <c r="BD545" s="64"/>
      <c r="BE545" s="64"/>
      <c r="BF545" s="64"/>
      <c r="BG545" s="64">
        <v>0</v>
      </c>
      <c r="BH545" s="64">
        <v>0</v>
      </c>
      <c r="BI545" s="64">
        <v>0</v>
      </c>
      <c r="BJ545" s="64"/>
      <c r="BK545" s="65"/>
      <c r="BL545" s="66">
        <v>71634.403287608293</v>
      </c>
    </row>
    <row r="546" spans="1:64" x14ac:dyDescent="0.25">
      <c r="A546" s="141">
        <f t="shared" si="336"/>
        <v>527</v>
      </c>
      <c r="B546" s="142">
        <f t="shared" si="337"/>
        <v>69</v>
      </c>
      <c r="C546" s="62" t="s">
        <v>82</v>
      </c>
      <c r="D546" s="62" t="s">
        <v>322</v>
      </c>
      <c r="E546" s="123">
        <v>1985</v>
      </c>
      <c r="F546" s="123">
        <v>2008</v>
      </c>
      <c r="G546" s="123" t="s">
        <v>43</v>
      </c>
      <c r="H546" s="123">
        <v>5</v>
      </c>
      <c r="I546" s="123">
        <v>5</v>
      </c>
      <c r="J546" s="64">
        <v>7124.7</v>
      </c>
      <c r="K546" s="64">
        <v>5794.3</v>
      </c>
      <c r="L546" s="64">
        <v>252.5</v>
      </c>
      <c r="M546" s="124">
        <v>248</v>
      </c>
      <c r="N546" s="95">
        <f>+P546+Q546+R546+S546+T546</f>
        <v>5076500.6375817275</v>
      </c>
      <c r="O546" s="64"/>
      <c r="P546" s="65"/>
      <c r="Q546" s="65"/>
      <c r="R546" s="65">
        <f>+AQ546+AR546-2015660.67-496815.55</f>
        <v>1074489.9400000002</v>
      </c>
      <c r="S546" s="65">
        <f>+'Приложение №2'!E555-'Приложение №1'!R546</f>
        <v>4002010.6975817271</v>
      </c>
      <c r="T546" s="65">
        <v>2.3283064365386963E-10</v>
      </c>
      <c r="U546" s="65">
        <f t="shared" si="338"/>
        <v>876.11974484954646</v>
      </c>
      <c r="V546" s="65">
        <v>1223.2830200640001</v>
      </c>
      <c r="W546" s="126">
        <v>2024</v>
      </c>
      <c r="X546" s="127" t="e">
        <f>+#REF!-'[1]Приложение №1'!$P960</f>
        <v>#REF!</v>
      </c>
      <c r="Z546" s="63">
        <f>SUM(AA546:AO546)</f>
        <v>30311487.044534598</v>
      </c>
      <c r="AA546" s="64">
        <v>11767409.930327574</v>
      </c>
      <c r="AB546" s="64">
        <v>5036712.1239983374</v>
      </c>
      <c r="AC546" s="64">
        <v>4496173.9029232748</v>
      </c>
      <c r="AD546" s="64">
        <v>4748882.2255679024</v>
      </c>
      <c r="AE546" s="64">
        <v>0</v>
      </c>
      <c r="AF546" s="64"/>
      <c r="AG546" s="64">
        <v>488566.79553627956</v>
      </c>
      <c r="AH546" s="64">
        <v>0</v>
      </c>
      <c r="AI546" s="64">
        <v>0</v>
      </c>
      <c r="AJ546" s="64">
        <v>0</v>
      </c>
      <c r="AK546" s="64">
        <v>0</v>
      </c>
      <c r="AL546" s="64">
        <v>0</v>
      </c>
      <c r="AM546" s="64">
        <v>2890300.461077428</v>
      </c>
      <c r="AN546" s="65">
        <v>303114.87044534594</v>
      </c>
      <c r="AO546" s="66">
        <v>580326.73465845292</v>
      </c>
      <c r="AP546" s="128">
        <f>+N546-'Приложение №2'!E555</f>
        <v>0</v>
      </c>
      <c r="AQ546" s="23">
        <v>2944437.56</v>
      </c>
      <c r="AR546" s="25">
        <f>+(K546*10+L546*20)*12*0.85</f>
        <v>642528.6</v>
      </c>
      <c r="AS546" s="25">
        <f>+(K546*10+L546*20)*12*30-11358024</f>
        <v>11319456</v>
      </c>
      <c r="AT546" s="127">
        <f>+S546-AS546</f>
        <v>-7317445.3024182729</v>
      </c>
      <c r="AU546" s="127">
        <f>+P546-'[6]Приложение №1'!$P239</f>
        <v>-822035.24829823943</v>
      </c>
      <c r="AV546" s="127">
        <f>+Q546-'[6]Приложение №1'!$Q239</f>
        <v>0</v>
      </c>
      <c r="AW546" s="63">
        <f>SUBTOTAL(9,AX546:BL546)</f>
        <v>5076500.6375817275</v>
      </c>
      <c r="AX546" s="64"/>
      <c r="AY546" s="64"/>
      <c r="AZ546" s="64">
        <v>4496173.9029232748</v>
      </c>
      <c r="BA546" s="64"/>
      <c r="BB546" s="64">
        <v>0</v>
      </c>
      <c r="BC546" s="64"/>
      <c r="BD546" s="64"/>
      <c r="BE546" s="64">
        <v>0</v>
      </c>
      <c r="BF546" s="64">
        <v>0</v>
      </c>
      <c r="BG546" s="64"/>
      <c r="BH546" s="64">
        <v>0</v>
      </c>
      <c r="BI546" s="64">
        <v>0</v>
      </c>
      <c r="BJ546" s="64"/>
      <c r="BK546" s="65"/>
      <c r="BL546" s="66">
        <v>580326.73465845292</v>
      </c>
    </row>
    <row r="547" spans="1:64" x14ac:dyDescent="0.25">
      <c r="A547" s="141">
        <f t="shared" si="336"/>
        <v>528</v>
      </c>
      <c r="B547" s="142">
        <f t="shared" si="337"/>
        <v>70</v>
      </c>
      <c r="C547" s="62" t="s">
        <v>82</v>
      </c>
      <c r="D547" s="62" t="s">
        <v>454</v>
      </c>
      <c r="E547" s="123">
        <v>1986</v>
      </c>
      <c r="F547" s="123">
        <v>2016</v>
      </c>
      <c r="G547" s="123" t="s">
        <v>43</v>
      </c>
      <c r="H547" s="123">
        <v>5</v>
      </c>
      <c r="I547" s="123">
        <v>4</v>
      </c>
      <c r="J547" s="64">
        <v>5735.9</v>
      </c>
      <c r="K547" s="64">
        <v>4570.5</v>
      </c>
      <c r="L547" s="64">
        <v>392.5</v>
      </c>
      <c r="M547" s="124">
        <v>186</v>
      </c>
      <c r="N547" s="95">
        <f>+P547+Q547+R547+S547+T547</f>
        <v>3746079.1046375427</v>
      </c>
      <c r="O547" s="64"/>
      <c r="P547" s="65"/>
      <c r="Q547" s="65"/>
      <c r="R547" s="65">
        <f>+AQ547+AR547</f>
        <v>2232501.41</v>
      </c>
      <c r="S547" s="65">
        <f>+'Приложение №2'!E556-'Приложение №1'!R547</f>
        <v>1513577.6946375426</v>
      </c>
      <c r="T547" s="65">
        <v>0</v>
      </c>
      <c r="U547" s="65">
        <f t="shared" si="338"/>
        <v>819.62128971393565</v>
      </c>
      <c r="V547" s="65">
        <v>1224.2830200640001</v>
      </c>
      <c r="W547" s="126">
        <v>2024</v>
      </c>
      <c r="X547" s="127" t="e">
        <f>+#REF!-'[1]Приложение №1'!$P961</f>
        <v>#REF!</v>
      </c>
      <c r="Z547" s="63">
        <f>SUM(AA547:AO547)</f>
        <v>4209077.6456601601</v>
      </c>
      <c r="AA547" s="64">
        <v>0</v>
      </c>
      <c r="AB547" s="64">
        <v>0</v>
      </c>
      <c r="AC547" s="64">
        <v>3665913.0117982994</v>
      </c>
      <c r="AD547" s="64">
        <v>0</v>
      </c>
      <c r="AE547" s="64">
        <v>0</v>
      </c>
      <c r="AF547" s="64"/>
      <c r="AG547" s="64">
        <v>0</v>
      </c>
      <c r="AH547" s="64">
        <v>0</v>
      </c>
      <c r="AI547" s="64">
        <v>0</v>
      </c>
      <c r="AJ547" s="64">
        <v>0</v>
      </c>
      <c r="AK547" s="64">
        <v>0</v>
      </c>
      <c r="AL547" s="64">
        <v>0</v>
      </c>
      <c r="AM547" s="64">
        <v>420907.76456601603</v>
      </c>
      <c r="AN547" s="65">
        <v>42090.776456601605</v>
      </c>
      <c r="AO547" s="66">
        <v>80166.092839243414</v>
      </c>
      <c r="AP547" s="128">
        <f>+N547-'Приложение №2'!E556</f>
        <v>0</v>
      </c>
      <c r="AQ547" s="23">
        <f>2433536.43-747296.02</f>
        <v>1686240.4100000001</v>
      </c>
      <c r="AR547" s="25">
        <f>+(K547*10+L547*20)*12*0.85</f>
        <v>546261</v>
      </c>
      <c r="AS547" s="25">
        <f>+(K547*10+L547*20)*12*30-4108823.88</f>
        <v>15170976.120000001</v>
      </c>
      <c r="AT547" s="127">
        <f>+S547-AS547</f>
        <v>-13657398.425362458</v>
      </c>
      <c r="AU547" s="127">
        <f>+P547-'[6]Приложение №1'!$P240</f>
        <v>0</v>
      </c>
      <c r="AV547" s="127">
        <f>+Q547-'[6]Приложение №1'!$Q240</f>
        <v>0</v>
      </c>
      <c r="AW547" s="63">
        <f>SUBTOTAL(9,AX547:BL547)</f>
        <v>3746079.1046375427</v>
      </c>
      <c r="AX547" s="64">
        <v>0</v>
      </c>
      <c r="AY547" s="64">
        <v>0</v>
      </c>
      <c r="AZ547" s="64">
        <v>3665913.0117982994</v>
      </c>
      <c r="BA547" s="64">
        <v>0</v>
      </c>
      <c r="BB547" s="64">
        <v>0</v>
      </c>
      <c r="BC547" s="64"/>
      <c r="BD547" s="64"/>
      <c r="BE547" s="64">
        <v>0</v>
      </c>
      <c r="BF547" s="64">
        <v>0</v>
      </c>
      <c r="BG547" s="64">
        <v>0</v>
      </c>
      <c r="BH547" s="64">
        <v>0</v>
      </c>
      <c r="BI547" s="64">
        <v>0</v>
      </c>
      <c r="BJ547" s="64"/>
      <c r="BK547" s="65"/>
      <c r="BL547" s="66">
        <v>80166.092839243414</v>
      </c>
    </row>
    <row r="548" spans="1:64" x14ac:dyDescent="0.25">
      <c r="A548" s="141">
        <f t="shared" si="336"/>
        <v>529</v>
      </c>
      <c r="B548" s="142">
        <f t="shared" si="337"/>
        <v>71</v>
      </c>
      <c r="C548" s="62" t="s">
        <v>82</v>
      </c>
      <c r="D548" s="62" t="s">
        <v>1123</v>
      </c>
      <c r="E548" s="123">
        <v>1980</v>
      </c>
      <c r="F548" s="123">
        <v>2012</v>
      </c>
      <c r="G548" s="123" t="s">
        <v>43</v>
      </c>
      <c r="H548" s="123">
        <v>4</v>
      </c>
      <c r="I548" s="123">
        <v>3</v>
      </c>
      <c r="J548" s="64">
        <v>5123.6000000000004</v>
      </c>
      <c r="K548" s="64">
        <v>3336.1</v>
      </c>
      <c r="L548" s="64">
        <v>937.6</v>
      </c>
      <c r="M548" s="124">
        <v>153</v>
      </c>
      <c r="N548" s="63">
        <f t="shared" ref="N548:N570" si="339">SUM(O548:T548)</f>
        <v>9608202.146264391</v>
      </c>
      <c r="O548" s="64"/>
      <c r="P548" s="65"/>
      <c r="Q548" s="65"/>
      <c r="R548" s="65">
        <v>2863173.66</v>
      </c>
      <c r="S548" s="65">
        <v>6514974.5</v>
      </c>
      <c r="T548" s="65">
        <f>+'Приложение №2'!E557-'Приложение №1'!P548-'Приложение №1'!R548-'Приложение №1'!S548</f>
        <v>230053.98626439087</v>
      </c>
      <c r="U548" s="65">
        <f t="shared" ref="U548:U598" si="340">N548/K548</f>
        <v>2880.0701856252485</v>
      </c>
      <c r="V548" s="65">
        <v>1221.2830200640001</v>
      </c>
      <c r="W548" s="126">
        <v>2024</v>
      </c>
      <c r="X548" s="127" t="e">
        <f>+#REF!-'[1]Приложение №1'!$P594</f>
        <v>#REF!</v>
      </c>
      <c r="Z548" s="63">
        <f>SUM(AA548:AO548)</f>
        <v>9768437.6600000001</v>
      </c>
      <c r="AA548" s="64">
        <v>0</v>
      </c>
      <c r="AB548" s="64">
        <v>0</v>
      </c>
      <c r="AC548" s="64">
        <v>0</v>
      </c>
      <c r="AD548" s="64">
        <v>0</v>
      </c>
      <c r="AE548" s="64">
        <v>0</v>
      </c>
      <c r="AF548" s="64"/>
      <c r="AG548" s="64">
        <v>0</v>
      </c>
      <c r="AH548" s="64">
        <v>0</v>
      </c>
      <c r="AI548" s="64">
        <v>0</v>
      </c>
      <c r="AJ548" s="64">
        <v>0</v>
      </c>
      <c r="AK548" s="64">
        <v>9403121.0399999991</v>
      </c>
      <c r="AL548" s="64">
        <v>0</v>
      </c>
      <c r="AM548" s="64">
        <v>264024.74</v>
      </c>
      <c r="AN548" s="65">
        <v>20000</v>
      </c>
      <c r="AO548" s="66">
        <v>81291.88</v>
      </c>
      <c r="AP548" s="128">
        <f>+N548-'Приложение №2'!E557</f>
        <v>0</v>
      </c>
      <c r="AQ548" s="38">
        <v>2890969.25</v>
      </c>
      <c r="AR548" s="25">
        <f t="shared" ref="AR548:AR550" si="341">+(K548*10.5+L548*21)*12*0.85</f>
        <v>558130.23</v>
      </c>
      <c r="AS548" s="25">
        <f>+(K548*10.5+L548*21)*12*30</f>
        <v>19698713.999999996</v>
      </c>
      <c r="AT548" s="127">
        <f t="shared" si="285"/>
        <v>-13183739.499999996</v>
      </c>
      <c r="AU548" s="127">
        <f>+P548-'[6]Приложение №1'!$P506</f>
        <v>0</v>
      </c>
      <c r="AV548" s="127">
        <f>+Q548-'[6]Приложение №1'!$Q506</f>
        <v>0</v>
      </c>
      <c r="AW548" s="88">
        <f t="shared" si="291"/>
        <v>9608202.146264391</v>
      </c>
      <c r="AX548" s="64">
        <v>0</v>
      </c>
      <c r="AY548" s="64">
        <v>0</v>
      </c>
      <c r="AZ548" s="64">
        <v>0</v>
      </c>
      <c r="BA548" s="64">
        <v>0</v>
      </c>
      <c r="BB548" s="64">
        <v>0</v>
      </c>
      <c r="BC548" s="64"/>
      <c r="BD548" s="64"/>
      <c r="BE548" s="64">
        <v>0</v>
      </c>
      <c r="BF548" s="64">
        <v>0</v>
      </c>
      <c r="BG548" s="64">
        <v>0</v>
      </c>
      <c r="BH548" s="64">
        <v>9403121.0399999991</v>
      </c>
      <c r="BI548" s="64">
        <v>0</v>
      </c>
      <c r="BJ548" s="64"/>
      <c r="BK548" s="65"/>
      <c r="BL548" s="66">
        <v>205081.10626439168</v>
      </c>
    </row>
    <row r="549" spans="1:64" x14ac:dyDescent="0.25">
      <c r="A549" s="141">
        <f t="shared" si="336"/>
        <v>530</v>
      </c>
      <c r="B549" s="142">
        <f t="shared" si="337"/>
        <v>72</v>
      </c>
      <c r="C549" s="62" t="s">
        <v>82</v>
      </c>
      <c r="D549" s="62" t="s">
        <v>648</v>
      </c>
      <c r="E549" s="123">
        <v>1982</v>
      </c>
      <c r="F549" s="123">
        <v>2008</v>
      </c>
      <c r="G549" s="123" t="s">
        <v>43</v>
      </c>
      <c r="H549" s="123">
        <v>5</v>
      </c>
      <c r="I549" s="123">
        <v>7</v>
      </c>
      <c r="J549" s="64">
        <v>6399.1</v>
      </c>
      <c r="K549" s="64">
        <v>4849.8999999999996</v>
      </c>
      <c r="L549" s="64">
        <v>814.5</v>
      </c>
      <c r="M549" s="124">
        <v>218</v>
      </c>
      <c r="N549" s="95">
        <f t="shared" ref="N549" si="342">+P549+Q549+R549+S549+T549</f>
        <v>4245972.5140081281</v>
      </c>
      <c r="O549" s="64"/>
      <c r="P549" s="65"/>
      <c r="Q549" s="65"/>
      <c r="R549" s="65">
        <f t="shared" ref="R549:R571" si="343">+AQ549+AR549</f>
        <v>0</v>
      </c>
      <c r="S549" s="65">
        <f>+'Приложение №2'!E558-'Приложение №1'!R549</f>
        <v>4245972.5140081281</v>
      </c>
      <c r="T549" s="65">
        <v>0</v>
      </c>
      <c r="U549" s="64">
        <f t="shared" ref="U549:V549" si="344">$N549/($K549+$L549)</f>
        <v>749.58910281903263</v>
      </c>
      <c r="V549" s="64">
        <f t="shared" si="344"/>
        <v>749.58910281903263</v>
      </c>
      <c r="W549" s="126">
        <v>2024</v>
      </c>
      <c r="X549" s="127" t="e">
        <f>+#REF!-'[1]Приложение №1'!$P1718</f>
        <v>#REF!</v>
      </c>
      <c r="Z549" s="63">
        <f t="shared" ref="Z549" si="345">SUM(AA549:AO549)</f>
        <v>16411893.353984796</v>
      </c>
      <c r="AA549" s="64">
        <v>10225965.426698405</v>
      </c>
      <c r="AB549" s="64">
        <v>0</v>
      </c>
      <c r="AC549" s="64">
        <v>3907208.0564832622</v>
      </c>
      <c r="AD549" s="64">
        <v>0</v>
      </c>
      <c r="AE549" s="64">
        <v>0</v>
      </c>
      <c r="AF549" s="64"/>
      <c r="AG549" s="64">
        <v>424568.12411291135</v>
      </c>
      <c r="AH549" s="64">
        <v>0</v>
      </c>
      <c r="AI549" s="64">
        <v>0</v>
      </c>
      <c r="AJ549" s="64">
        <v>0</v>
      </c>
      <c r="AK549" s="64">
        <v>0</v>
      </c>
      <c r="AL549" s="64">
        <v>0</v>
      </c>
      <c r="AM549" s="64">
        <v>1371684.4886090811</v>
      </c>
      <c r="AN549" s="65">
        <v>164118.93353984796</v>
      </c>
      <c r="AO549" s="66">
        <v>318348.32454128755</v>
      </c>
      <c r="AP549" s="128">
        <f>+N549-'Приложение №2'!E558</f>
        <v>0</v>
      </c>
      <c r="AQ549" s="127">
        <f>2229911.9-R252</f>
        <v>-660847.79999999981</v>
      </c>
      <c r="AR549" s="25">
        <f t="shared" ref="AR549" si="346">+(K549*10+L549*20)*12*0.85</f>
        <v>660847.79999999993</v>
      </c>
      <c r="AS549" s="25">
        <f>+(K549*10+L549*20)*12*30-S252</f>
        <v>14291892.918872699</v>
      </c>
      <c r="AT549" s="127">
        <f t="shared" si="285"/>
        <v>-10045920.404864572</v>
      </c>
      <c r="AU549" s="127">
        <f>+P549-'[6]Приложение №1'!$P620</f>
        <v>-9745896.1752586551</v>
      </c>
      <c r="AV549" s="127">
        <f>+Q549-'[6]Приложение №1'!$Q620</f>
        <v>0</v>
      </c>
      <c r="AW549" s="63">
        <f t="shared" si="291"/>
        <v>4245972.5140081281</v>
      </c>
      <c r="AX549" s="64"/>
      <c r="AY549" s="64">
        <v>0</v>
      </c>
      <c r="AZ549" s="64">
        <v>3907208.0564832622</v>
      </c>
      <c r="BA549" s="64">
        <v>0</v>
      </c>
      <c r="BB549" s="64">
        <v>0</v>
      </c>
      <c r="BC549" s="64"/>
      <c r="BD549" s="64"/>
      <c r="BE549" s="64">
        <v>0</v>
      </c>
      <c r="BF549" s="64">
        <v>0</v>
      </c>
      <c r="BG549" s="64">
        <v>0</v>
      </c>
      <c r="BH549" s="64">
        <v>0</v>
      </c>
      <c r="BI549" s="64">
        <v>0</v>
      </c>
      <c r="BJ549" s="64"/>
      <c r="BK549" s="65"/>
      <c r="BL549" s="66">
        <v>338764.45752486604</v>
      </c>
    </row>
    <row r="550" spans="1:64" x14ac:dyDescent="0.25">
      <c r="A550" s="141">
        <f t="shared" si="336"/>
        <v>531</v>
      </c>
      <c r="B550" s="142">
        <f t="shared" si="337"/>
        <v>73</v>
      </c>
      <c r="C550" s="62" t="s">
        <v>82</v>
      </c>
      <c r="D550" s="62" t="s">
        <v>1124</v>
      </c>
      <c r="E550" s="123">
        <v>1979</v>
      </c>
      <c r="F550" s="123">
        <v>2015</v>
      </c>
      <c r="G550" s="123" t="s">
        <v>43</v>
      </c>
      <c r="H550" s="123">
        <v>5</v>
      </c>
      <c r="I550" s="123">
        <v>4</v>
      </c>
      <c r="J550" s="64">
        <v>4063.4</v>
      </c>
      <c r="K550" s="64">
        <v>3700.2</v>
      </c>
      <c r="L550" s="64">
        <v>117.2</v>
      </c>
      <c r="M550" s="124">
        <v>192</v>
      </c>
      <c r="N550" s="63">
        <f t="shared" si="339"/>
        <v>13972173.255062804</v>
      </c>
      <c r="O550" s="64"/>
      <c r="P550" s="65">
        <v>687023.047624161</v>
      </c>
      <c r="Q550" s="65"/>
      <c r="R550" s="65">
        <f t="shared" si="343"/>
        <v>1873324.27</v>
      </c>
      <c r="S550" s="65">
        <f>+AS550</f>
        <v>10704733.460000001</v>
      </c>
      <c r="T550" s="65">
        <f>+'Приложение №2'!E559-'Приложение №1'!P550-'Приложение №1'!R550-'Приложение №1'!S550</f>
        <v>707092.47743864171</v>
      </c>
      <c r="U550" s="65">
        <f t="shared" si="340"/>
        <v>3776.0589306153192</v>
      </c>
      <c r="V550" s="65">
        <v>1222.2830200640001</v>
      </c>
      <c r="W550" s="126">
        <v>2024</v>
      </c>
      <c r="X550" s="127" t="e">
        <f>+#REF!-'[1]Приложение №1'!$P962</f>
        <v>#REF!</v>
      </c>
      <c r="Z550" s="63">
        <f>SUM(AA550:AO550)</f>
        <v>14237628.820496641</v>
      </c>
      <c r="AA550" s="64">
        <v>0</v>
      </c>
      <c r="AB550" s="64">
        <v>0</v>
      </c>
      <c r="AC550" s="64">
        <v>0</v>
      </c>
      <c r="AD550" s="64">
        <v>0</v>
      </c>
      <c r="AE550" s="64">
        <v>0</v>
      </c>
      <c r="AF550" s="64"/>
      <c r="AG550" s="64">
        <v>0</v>
      </c>
      <c r="AH550" s="64">
        <v>0</v>
      </c>
      <c r="AI550" s="64">
        <v>12539649.207364213</v>
      </c>
      <c r="AJ550" s="64">
        <v>0</v>
      </c>
      <c r="AK550" s="64">
        <v>0</v>
      </c>
      <c r="AL550" s="64">
        <v>0</v>
      </c>
      <c r="AM550" s="64">
        <v>1281386.5938446978</v>
      </c>
      <c r="AN550" s="65">
        <v>142376.28820496643</v>
      </c>
      <c r="AO550" s="66">
        <v>274216.73108276533</v>
      </c>
      <c r="AP550" s="128">
        <f>+N550-'Приложение №2'!E559</f>
        <v>0</v>
      </c>
      <c r="AQ550" s="23">
        <f>2319947.14-868018.53</f>
        <v>1451928.61</v>
      </c>
      <c r="AR550" s="25">
        <f t="shared" si="341"/>
        <v>421395.66</v>
      </c>
      <c r="AS550" s="25">
        <f>+(K550*10.5+L550*21)*12*30-4168054.54</f>
        <v>10704733.460000001</v>
      </c>
      <c r="AT550" s="127">
        <f t="shared" si="285"/>
        <v>0</v>
      </c>
      <c r="AU550" s="127">
        <f>+P550-'[6]Приложение №1'!$P507</f>
        <v>0</v>
      </c>
      <c r="AV550" s="127">
        <f>+Q550-'[6]Приложение №1'!$Q507</f>
        <v>0</v>
      </c>
      <c r="AW550" s="88">
        <f t="shared" si="291"/>
        <v>13972173.255062804</v>
      </c>
      <c r="AX550" s="64">
        <v>0</v>
      </c>
      <c r="AY550" s="64">
        <v>0</v>
      </c>
      <c r="AZ550" s="64">
        <v>0</v>
      </c>
      <c r="BA550" s="64">
        <v>0</v>
      </c>
      <c r="BB550" s="64">
        <v>0</v>
      </c>
      <c r="BC550" s="64"/>
      <c r="BD550" s="64"/>
      <c r="BE550" s="64">
        <v>0</v>
      </c>
      <c r="BF550" s="64">
        <v>13673168.74740446</v>
      </c>
      <c r="BG550" s="64">
        <v>0</v>
      </c>
      <c r="BH550" s="64">
        <v>0</v>
      </c>
      <c r="BI550" s="64">
        <v>0</v>
      </c>
      <c r="BJ550" s="64"/>
      <c r="BK550" s="65"/>
      <c r="BL550" s="66">
        <v>299004.50765834399</v>
      </c>
    </row>
    <row r="551" spans="1:64" x14ac:dyDescent="0.25">
      <c r="A551" s="141">
        <f t="shared" si="336"/>
        <v>532</v>
      </c>
      <c r="B551" s="142">
        <f t="shared" si="337"/>
        <v>74</v>
      </c>
      <c r="C551" s="62" t="s">
        <v>82</v>
      </c>
      <c r="D551" s="62" t="s">
        <v>325</v>
      </c>
      <c r="E551" s="123">
        <v>1983</v>
      </c>
      <c r="F551" s="123">
        <v>2015</v>
      </c>
      <c r="G551" s="123" t="s">
        <v>43</v>
      </c>
      <c r="H551" s="123">
        <v>5</v>
      </c>
      <c r="I551" s="123">
        <v>4</v>
      </c>
      <c r="J551" s="64">
        <v>4471.8999999999996</v>
      </c>
      <c r="K551" s="64">
        <v>3791</v>
      </c>
      <c r="L551" s="64">
        <v>256.8</v>
      </c>
      <c r="M551" s="124">
        <v>156</v>
      </c>
      <c r="N551" s="95">
        <f>+P551+Q551+R551+S551+T551</f>
        <v>13630832.755463313</v>
      </c>
      <c r="O551" s="64"/>
      <c r="P551" s="65"/>
      <c r="Q551" s="65"/>
      <c r="R551" s="65">
        <f>+AQ551+AR551</f>
        <v>2235221.37</v>
      </c>
      <c r="S551" s="65">
        <f>+'Приложение №2'!E560-'Приложение №1'!R551</f>
        <v>11395611.385463312</v>
      </c>
      <c r="T551" s="65">
        <v>9.3132257461547852E-10</v>
      </c>
      <c r="U551" s="64">
        <f>$N551/($K551+$L551)</f>
        <v>3367.4669587092526</v>
      </c>
      <c r="V551" s="64">
        <f>$N551/($K551+$L551)</f>
        <v>3367.4669587092526</v>
      </c>
      <c r="W551" s="126">
        <v>2024</v>
      </c>
      <c r="X551" s="127" t="e">
        <f>+#REF!-'[1]Приложение №1'!$P1349</f>
        <v>#REF!</v>
      </c>
      <c r="Z551" s="63">
        <f>SUM(AA551:AO551)</f>
        <v>12482547.809364174</v>
      </c>
      <c r="AA551" s="64">
        <v>7789654.8248060504</v>
      </c>
      <c r="AB551" s="64">
        <v>0</v>
      </c>
      <c r="AC551" s="64">
        <v>0</v>
      </c>
      <c r="AD551" s="64">
        <v>3143610.4937155819</v>
      </c>
      <c r="AE551" s="64">
        <v>0</v>
      </c>
      <c r="AF551" s="64"/>
      <c r="AG551" s="64">
        <v>0</v>
      </c>
      <c r="AH551" s="64">
        <v>0</v>
      </c>
      <c r="AI551" s="64">
        <v>0</v>
      </c>
      <c r="AJ551" s="64">
        <v>0</v>
      </c>
      <c r="AK551" s="64">
        <v>0</v>
      </c>
      <c r="AL551" s="64">
        <v>0</v>
      </c>
      <c r="AM551" s="64">
        <v>1185368.6438378405</v>
      </c>
      <c r="AN551" s="65">
        <v>124825.47809364174</v>
      </c>
      <c r="AO551" s="66">
        <v>239088.3689110596</v>
      </c>
      <c r="AP551" s="128">
        <f>+N551-'Приложение №2'!E560</f>
        <v>0</v>
      </c>
      <c r="AQ551" s="23">
        <v>1796152.17</v>
      </c>
      <c r="AR551" s="25">
        <f>+(K551*10+L551*20)*12*0.85</f>
        <v>439069.2</v>
      </c>
      <c r="AS551" s="25">
        <f>+(K551*10+L551*20)*12*30</f>
        <v>15496560</v>
      </c>
      <c r="AT551" s="127">
        <f>+S551-AS551</f>
        <v>-4100948.6145366877</v>
      </c>
      <c r="AU551" s="127">
        <f>+P551-'[6]Приложение №1'!$P255</f>
        <v>-2237553.186666667</v>
      </c>
      <c r="AV551" s="127">
        <f>+Q551-'[6]Приложение №1'!$Q255</f>
        <v>0</v>
      </c>
      <c r="AW551" s="63">
        <f>SUBTOTAL(9,AX551:BL551)</f>
        <v>13630832.755463313</v>
      </c>
      <c r="AX551" s="64">
        <v>9909305.8300000001</v>
      </c>
      <c r="AY551" s="64">
        <v>0</v>
      </c>
      <c r="AZ551" s="64">
        <v>0</v>
      </c>
      <c r="BA551" s="64">
        <v>3466626.6149921236</v>
      </c>
      <c r="BB551" s="64">
        <v>0</v>
      </c>
      <c r="BC551" s="64"/>
      <c r="BD551" s="64"/>
      <c r="BE551" s="64">
        <v>0</v>
      </c>
      <c r="BF551" s="64">
        <v>0</v>
      </c>
      <c r="BG551" s="64">
        <v>0</v>
      </c>
      <c r="BH551" s="64">
        <v>0</v>
      </c>
      <c r="BI551" s="64">
        <v>0</v>
      </c>
      <c r="BJ551" s="64"/>
      <c r="BK551" s="65"/>
      <c r="BL551" s="66">
        <v>254900.31047118944</v>
      </c>
    </row>
    <row r="552" spans="1:64" x14ac:dyDescent="0.25">
      <c r="A552" s="141">
        <f t="shared" si="336"/>
        <v>533</v>
      </c>
      <c r="B552" s="142">
        <f t="shared" si="337"/>
        <v>75</v>
      </c>
      <c r="C552" s="62" t="s">
        <v>82</v>
      </c>
      <c r="D552" s="62" t="s">
        <v>1125</v>
      </c>
      <c r="E552" s="123">
        <v>1983</v>
      </c>
      <c r="F552" s="123">
        <v>2015</v>
      </c>
      <c r="G552" s="123" t="s">
        <v>43</v>
      </c>
      <c r="H552" s="123">
        <v>5</v>
      </c>
      <c r="I552" s="123">
        <v>3</v>
      </c>
      <c r="J552" s="64">
        <v>5101.8</v>
      </c>
      <c r="K552" s="64">
        <v>4226.1000000000004</v>
      </c>
      <c r="L552" s="64">
        <v>155.6</v>
      </c>
      <c r="M552" s="124">
        <v>188</v>
      </c>
      <c r="N552" s="95">
        <f>+P552+Q552+R552+S552+T552</f>
        <v>14498543.726390138</v>
      </c>
      <c r="O552" s="64"/>
      <c r="P552" s="65"/>
      <c r="Q552" s="65"/>
      <c r="R552" s="65">
        <f>+AQ552+AR552</f>
        <v>2554358.16</v>
      </c>
      <c r="S552" s="65">
        <f>+'Приложение №2'!E561-'Приложение №1'!R552</f>
        <v>11944185.566390138</v>
      </c>
      <c r="T552" s="65">
        <v>0</v>
      </c>
      <c r="U552" s="64">
        <f>$N552/($K552+$L552)</f>
        <v>3308.885529906232</v>
      </c>
      <c r="V552" s="64">
        <f>$N552/($K552+$L552)</f>
        <v>3308.885529906232</v>
      </c>
      <c r="W552" s="126">
        <v>2024</v>
      </c>
      <c r="X552" s="127" t="e">
        <f>+#REF!-'[1]Приложение №1'!$P1350</f>
        <v>#REF!</v>
      </c>
      <c r="Z552" s="63">
        <f>SUM(AA552:AO552)</f>
        <v>13740614.36632535</v>
      </c>
      <c r="AA552" s="64">
        <v>8574743.2839111742</v>
      </c>
      <c r="AB552" s="64">
        <v>0</v>
      </c>
      <c r="AC552" s="64">
        <v>0</v>
      </c>
      <c r="AD552" s="64">
        <v>3460442.5452050162</v>
      </c>
      <c r="AE552" s="64">
        <v>0</v>
      </c>
      <c r="AF552" s="64"/>
      <c r="AG552" s="64">
        <v>0</v>
      </c>
      <c r="AH552" s="64">
        <v>0</v>
      </c>
      <c r="AI552" s="64">
        <v>0</v>
      </c>
      <c r="AJ552" s="64">
        <v>0</v>
      </c>
      <c r="AK552" s="64">
        <v>0</v>
      </c>
      <c r="AL552" s="64">
        <v>0</v>
      </c>
      <c r="AM552" s="64">
        <v>1304837.2548343944</v>
      </c>
      <c r="AN552" s="65">
        <v>137406.14366325352</v>
      </c>
      <c r="AO552" s="66">
        <v>263185.13871151285</v>
      </c>
      <c r="AP552" s="128">
        <f>+N552-'Приложение №2'!E561</f>
        <v>0</v>
      </c>
      <c r="AQ552" s="23">
        <v>2091553.56</v>
      </c>
      <c r="AR552" s="25">
        <f>+(K552*10+L552*20)*12*0.85</f>
        <v>462804.6</v>
      </c>
      <c r="AS552" s="25">
        <f>+(K552*10+L552*20)*12*30</f>
        <v>16334280</v>
      </c>
      <c r="AT552" s="127">
        <f>+S552-AS552</f>
        <v>-4390094.4336098619</v>
      </c>
      <c r="AU552" s="127">
        <f>+P552-'[6]Приложение №1'!$P256</f>
        <v>-906857.51333330001</v>
      </c>
      <c r="AV552" s="127">
        <f>+Q552-'[6]Приложение №1'!$Q256</f>
        <v>0</v>
      </c>
      <c r="AW552" s="63">
        <f>SUBTOTAL(9,AX552:BL552)</f>
        <v>14498543.726390138</v>
      </c>
      <c r="AX552" s="64">
        <v>10454253.24</v>
      </c>
      <c r="AY552" s="64">
        <v>0</v>
      </c>
      <c r="AZ552" s="64">
        <v>0</v>
      </c>
      <c r="BA552" s="64">
        <v>3766945.2952091699</v>
      </c>
      <c r="BB552" s="64">
        <v>0</v>
      </c>
      <c r="BC552" s="64"/>
      <c r="BD552" s="64"/>
      <c r="BE552" s="64">
        <v>0</v>
      </c>
      <c r="BF552" s="64">
        <v>0</v>
      </c>
      <c r="BG552" s="64">
        <v>0</v>
      </c>
      <c r="BH552" s="64">
        <v>0</v>
      </c>
      <c r="BI552" s="64">
        <v>0</v>
      </c>
      <c r="BJ552" s="64"/>
      <c r="BK552" s="65"/>
      <c r="BL552" s="66">
        <v>277345.19118096889</v>
      </c>
    </row>
    <row r="553" spans="1:64" x14ac:dyDescent="0.25">
      <c r="A553" s="141">
        <f t="shared" si="336"/>
        <v>534</v>
      </c>
      <c r="B553" s="142">
        <f t="shared" si="337"/>
        <v>76</v>
      </c>
      <c r="C553" s="62" t="s">
        <v>82</v>
      </c>
      <c r="D553" s="62" t="s">
        <v>661</v>
      </c>
      <c r="E553" s="123">
        <v>1992</v>
      </c>
      <c r="F553" s="123">
        <v>2012</v>
      </c>
      <c r="G553" s="123" t="s">
        <v>43</v>
      </c>
      <c r="H553" s="123">
        <v>9</v>
      </c>
      <c r="I553" s="123">
        <v>2</v>
      </c>
      <c r="J553" s="64">
        <v>6461</v>
      </c>
      <c r="K553" s="64">
        <v>5606</v>
      </c>
      <c r="L553" s="64">
        <v>127.2</v>
      </c>
      <c r="M553" s="124">
        <v>222</v>
      </c>
      <c r="N553" s="63">
        <f t="shared" si="339"/>
        <v>17440324.817983367</v>
      </c>
      <c r="O553" s="64"/>
      <c r="P553" s="65"/>
      <c r="Q553" s="65"/>
      <c r="R553" s="65">
        <f t="shared" si="343"/>
        <v>5032110.2459999993</v>
      </c>
      <c r="S553" s="65">
        <f>+'Приложение №2'!E562-'Приложение №1'!R553</f>
        <v>12408214.571983367</v>
      </c>
      <c r="T553" s="65">
        <v>0</v>
      </c>
      <c r="U553" s="65">
        <f t="shared" si="340"/>
        <v>3111.0104919699193</v>
      </c>
      <c r="V553" s="65">
        <v>1225.2830200640001</v>
      </c>
      <c r="W553" s="126">
        <v>2024</v>
      </c>
      <c r="X553" s="127" t="e">
        <f>+#REF!-'[1]Приложение №1'!$P963</f>
        <v>#REF!</v>
      </c>
      <c r="Z553" s="63">
        <f t="shared" ref="Z553:Z574" si="347">SUM(AA553:AO553)</f>
        <v>20270690.991399139</v>
      </c>
      <c r="AA553" s="64">
        <v>13437177.92113563</v>
      </c>
      <c r="AB553" s="64">
        <v>0</v>
      </c>
      <c r="AC553" s="64">
        <v>3970815.0889603682</v>
      </c>
      <c r="AD553" s="64">
        <v>0</v>
      </c>
      <c r="AE553" s="64">
        <v>0</v>
      </c>
      <c r="AF553" s="64"/>
      <c r="AG553" s="64">
        <v>596995.06026331545</v>
      </c>
      <c r="AH553" s="64">
        <v>0</v>
      </c>
      <c r="AI553" s="64">
        <v>0</v>
      </c>
      <c r="AJ553" s="64">
        <v>0</v>
      </c>
      <c r="AK553" s="64">
        <v>0</v>
      </c>
      <c r="AL553" s="64">
        <v>0</v>
      </c>
      <c r="AM553" s="64">
        <v>1669263.3882914896</v>
      </c>
      <c r="AN553" s="65">
        <v>202706.9099139914</v>
      </c>
      <c r="AO553" s="66">
        <v>393732.62283434434</v>
      </c>
      <c r="AP553" s="128">
        <f>+N553-'Приложение №2'!E562</f>
        <v>0</v>
      </c>
      <c r="AQ553" s="38">
        <v>4203748.05</v>
      </c>
      <c r="AR553" s="25">
        <f t="shared" ref="AR553" si="348">+(K553*13.95+L553*23.65)*12*0.85</f>
        <v>828362.196</v>
      </c>
      <c r="AS553" s="25">
        <f>+(K553*13.95+L553*23.65)*12*30</f>
        <v>29236312.800000001</v>
      </c>
      <c r="AT553" s="127">
        <f t="shared" ref="AT553:AT599" si="349">+S553-AS553</f>
        <v>-16828098.228016634</v>
      </c>
      <c r="AU553" s="127">
        <f>+P553-'[6]Приложение №1'!$P509</f>
        <v>0</v>
      </c>
      <c r="AV553" s="127">
        <f>+Q553-'[6]Приложение №1'!$Q509</f>
        <v>0</v>
      </c>
      <c r="AW553" s="88">
        <f t="shared" si="291"/>
        <v>17440324.817983367</v>
      </c>
      <c r="AX553" s="64">
        <v>16337895.145822233</v>
      </c>
      <c r="AY553" s="64">
        <v>0</v>
      </c>
      <c r="AZ553" s="64">
        <v>0</v>
      </c>
      <c r="BA553" s="64">
        <v>0</v>
      </c>
      <c r="BB553" s="64">
        <v>0</v>
      </c>
      <c r="BC553" s="64"/>
      <c r="BD553" s="64">
        <v>729206.72105628939</v>
      </c>
      <c r="BE553" s="64">
        <v>0</v>
      </c>
      <c r="BF553" s="64">
        <v>0</v>
      </c>
      <c r="BG553" s="64">
        <v>0</v>
      </c>
      <c r="BH553" s="64">
        <v>0</v>
      </c>
      <c r="BI553" s="64">
        <v>0</v>
      </c>
      <c r="BJ553" s="64"/>
      <c r="BK553" s="65"/>
      <c r="BL553" s="66">
        <v>373222.95110484399</v>
      </c>
    </row>
    <row r="554" spans="1:64" x14ac:dyDescent="0.25">
      <c r="A554" s="141">
        <f t="shared" si="336"/>
        <v>535</v>
      </c>
      <c r="B554" s="142">
        <f t="shared" si="337"/>
        <v>77</v>
      </c>
      <c r="C554" s="62" t="s">
        <v>82</v>
      </c>
      <c r="D554" s="62" t="s">
        <v>331</v>
      </c>
      <c r="E554" s="123">
        <v>1992</v>
      </c>
      <c r="F554" s="123">
        <v>1992</v>
      </c>
      <c r="G554" s="123" t="s">
        <v>43</v>
      </c>
      <c r="H554" s="123">
        <v>2</v>
      </c>
      <c r="I554" s="123">
        <v>8</v>
      </c>
      <c r="J554" s="64">
        <v>962.7</v>
      </c>
      <c r="K554" s="64">
        <v>961.6</v>
      </c>
      <c r="L554" s="64">
        <v>0</v>
      </c>
      <c r="M554" s="124">
        <v>42</v>
      </c>
      <c r="N554" s="63">
        <f t="shared" si="339"/>
        <v>21989359.511146136</v>
      </c>
      <c r="O554" s="64"/>
      <c r="P554" s="65">
        <v>534822.96800000034</v>
      </c>
      <c r="Q554" s="65"/>
      <c r="R554" s="65">
        <f t="shared" si="343"/>
        <v>706513.82</v>
      </c>
      <c r="S554" s="65">
        <f>+AS554</f>
        <v>3634848</v>
      </c>
      <c r="T554" s="65">
        <f>+'Приложение №2'!E563-'Приложение №1'!P554-'Приложение №1'!R554-'Приложение №1'!S554</f>
        <v>17113174.723146133</v>
      </c>
      <c r="U554" s="65">
        <f t="shared" si="340"/>
        <v>22867.470373488079</v>
      </c>
      <c r="V554" s="65">
        <v>1227.2830200640001</v>
      </c>
      <c r="W554" s="126">
        <v>2024</v>
      </c>
      <c r="X554" s="127" t="e">
        <f>+#REF!-'[1]Приложение №1'!$P966</f>
        <v>#REF!</v>
      </c>
      <c r="Z554" s="63">
        <f t="shared" si="347"/>
        <v>20215689.170000002</v>
      </c>
      <c r="AA554" s="64">
        <v>0</v>
      </c>
      <c r="AB554" s="64">
        <v>0</v>
      </c>
      <c r="AC554" s="64">
        <v>0</v>
      </c>
      <c r="AD554" s="64">
        <v>0</v>
      </c>
      <c r="AE554" s="64">
        <v>0</v>
      </c>
      <c r="AF554" s="64"/>
      <c r="AG554" s="64">
        <v>0</v>
      </c>
      <c r="AH554" s="64">
        <v>0</v>
      </c>
      <c r="AI554" s="64">
        <v>8186116.5976968007</v>
      </c>
      <c r="AJ554" s="64">
        <v>0</v>
      </c>
      <c r="AK554" s="64">
        <v>9511775.5987569001</v>
      </c>
      <c r="AL554" s="64">
        <v>0</v>
      </c>
      <c r="AM554" s="64">
        <v>1928623.0238000001</v>
      </c>
      <c r="AN554" s="65">
        <v>202156.89170000004</v>
      </c>
      <c r="AO554" s="66">
        <v>387017.05804630002</v>
      </c>
      <c r="AP554" s="128">
        <f>+N554-'Приложение №2'!E563</f>
        <v>0</v>
      </c>
      <c r="AQ554" s="38">
        <v>603526.46</v>
      </c>
      <c r="AR554" s="25">
        <f t="shared" ref="AR554:AR555" si="350">+(K554*10.5+L554*21)*12*0.85</f>
        <v>102987.36</v>
      </c>
      <c r="AS554" s="25">
        <f>+(K554*10.5+L554*21)*12*30</f>
        <v>3634848</v>
      </c>
      <c r="AT554" s="127">
        <f t="shared" si="349"/>
        <v>0</v>
      </c>
      <c r="AU554" s="127">
        <f>+P554-'[6]Приложение №1'!$P511</f>
        <v>0</v>
      </c>
      <c r="AV554" s="127">
        <f>+Q554-'[6]Приложение №1'!$Q511</f>
        <v>0</v>
      </c>
      <c r="AW554" s="88">
        <f t="shared" si="291"/>
        <v>21989359.511146132</v>
      </c>
      <c r="AX554" s="64">
        <v>0</v>
      </c>
      <c r="AY554" s="64">
        <v>0</v>
      </c>
      <c r="AZ554" s="64">
        <v>0</v>
      </c>
      <c r="BA554" s="64">
        <v>0</v>
      </c>
      <c r="BB554" s="64">
        <v>0</v>
      </c>
      <c r="BC554" s="64"/>
      <c r="BD554" s="64"/>
      <c r="BE554" s="64">
        <v>0</v>
      </c>
      <c r="BF554" s="64">
        <v>8908740.4806679767</v>
      </c>
      <c r="BG554" s="64">
        <v>0</v>
      </c>
      <c r="BH554" s="64">
        <v>12608207.194969805</v>
      </c>
      <c r="BI554" s="64">
        <v>0</v>
      </c>
      <c r="BJ554" s="64"/>
      <c r="BK554" s="65"/>
      <c r="BL554" s="66">
        <v>472411.83550834999</v>
      </c>
    </row>
    <row r="555" spans="1:64" x14ac:dyDescent="0.25">
      <c r="A555" s="141">
        <f t="shared" si="336"/>
        <v>536</v>
      </c>
      <c r="B555" s="142">
        <f t="shared" si="337"/>
        <v>78</v>
      </c>
      <c r="C555" s="62" t="s">
        <v>82</v>
      </c>
      <c r="D555" s="62" t="s">
        <v>662</v>
      </c>
      <c r="E555" s="123">
        <v>1984</v>
      </c>
      <c r="F555" s="123">
        <v>2016</v>
      </c>
      <c r="G555" s="123" t="s">
        <v>43</v>
      </c>
      <c r="H555" s="123">
        <v>5</v>
      </c>
      <c r="I555" s="123">
        <v>4</v>
      </c>
      <c r="J555" s="64">
        <v>5755.6</v>
      </c>
      <c r="K555" s="64">
        <v>4829.1000000000004</v>
      </c>
      <c r="L555" s="64">
        <v>0</v>
      </c>
      <c r="M555" s="124">
        <v>186</v>
      </c>
      <c r="N555" s="63">
        <f t="shared" si="339"/>
        <v>44034980.824083209</v>
      </c>
      <c r="O555" s="64"/>
      <c r="P555" s="65">
        <v>3288801.0671485327</v>
      </c>
      <c r="Q555" s="65"/>
      <c r="R555" s="65">
        <f t="shared" si="343"/>
        <v>3331024.3699999996</v>
      </c>
      <c r="S555" s="65">
        <f>+AS555</f>
        <v>18253998.000000004</v>
      </c>
      <c r="T555" s="65">
        <f>+'Приложение №2'!E564-'Приложение №1'!P555-'Приложение №1'!R555-'Приложение №1'!S555</f>
        <v>19161157.386934672</v>
      </c>
      <c r="U555" s="65">
        <f t="shared" si="340"/>
        <v>9118.6723870044534</v>
      </c>
      <c r="V555" s="65">
        <v>1228.2830200640001</v>
      </c>
      <c r="W555" s="126">
        <v>2024</v>
      </c>
      <c r="X555" s="127" t="e">
        <f>+#REF!-'[1]Приложение №1'!$P967</f>
        <v>#REF!</v>
      </c>
      <c r="Z555" s="63">
        <f t="shared" si="347"/>
        <v>33258616.608594127</v>
      </c>
      <c r="AA555" s="64">
        <v>9139483.8463669065</v>
      </c>
      <c r="AB555" s="64">
        <v>0</v>
      </c>
      <c r="AC555" s="64">
        <v>0</v>
      </c>
      <c r="AD555" s="64">
        <v>3864839.2348521813</v>
      </c>
      <c r="AE555" s="64">
        <v>0</v>
      </c>
      <c r="AF555" s="64"/>
      <c r="AG555" s="64">
        <v>397616.119024474</v>
      </c>
      <c r="AH555" s="64">
        <v>0</v>
      </c>
      <c r="AI555" s="64">
        <v>15843387.174315393</v>
      </c>
      <c r="AJ555" s="64">
        <v>0</v>
      </c>
      <c r="AK555" s="64">
        <v>0</v>
      </c>
      <c r="AL555" s="64">
        <v>0</v>
      </c>
      <c r="AM555" s="64">
        <v>3041168.0119349672</v>
      </c>
      <c r="AN555" s="65">
        <v>332586.16608594125</v>
      </c>
      <c r="AO555" s="66">
        <v>639536.05601426703</v>
      </c>
      <c r="AP555" s="128">
        <f>+N555-'Приложение №2'!E564</f>
        <v>0</v>
      </c>
      <c r="AQ555" s="38">
        <v>2813827.76</v>
      </c>
      <c r="AR555" s="25">
        <f t="shared" si="350"/>
        <v>517196.61000000004</v>
      </c>
      <c r="AS555" s="25">
        <f>+(K555*10.5+L555*21)*12*30</f>
        <v>18253998.000000004</v>
      </c>
      <c r="AT555" s="127">
        <f t="shared" si="349"/>
        <v>0</v>
      </c>
      <c r="AU555" s="127">
        <f>+P555-'[6]Приложение №1'!$P512</f>
        <v>0</v>
      </c>
      <c r="AV555" s="127">
        <f>+Q555-'[6]Приложение №1'!$Q512</f>
        <v>0</v>
      </c>
      <c r="AW555" s="88">
        <f t="shared" si="291"/>
        <v>44034980.824083202</v>
      </c>
      <c r="AX555" s="64">
        <v>17650757.325178169</v>
      </c>
      <c r="AY555" s="64">
        <v>0</v>
      </c>
      <c r="AZ555" s="64">
        <v>0</v>
      </c>
      <c r="BA555" s="64">
        <v>5270628.8244372001</v>
      </c>
      <c r="BB555" s="64">
        <v>0</v>
      </c>
      <c r="BC555" s="64"/>
      <c r="BD555" s="64">
        <v>521283.62919142889</v>
      </c>
      <c r="BE555" s="64"/>
      <c r="BF555" s="64">
        <v>19605564.18093317</v>
      </c>
      <c r="BG555" s="64">
        <v>0</v>
      </c>
      <c r="BH555" s="64">
        <v>0</v>
      </c>
      <c r="BI555" s="64">
        <v>0</v>
      </c>
      <c r="BJ555" s="64"/>
      <c r="BK555" s="65"/>
      <c r="BL555" s="66">
        <v>986746.86434323061</v>
      </c>
    </row>
    <row r="556" spans="1:64" x14ac:dyDescent="0.25">
      <c r="A556" s="141">
        <f t="shared" si="336"/>
        <v>537</v>
      </c>
      <c r="B556" s="142">
        <f t="shared" si="337"/>
        <v>79</v>
      </c>
      <c r="C556" s="62" t="s">
        <v>82</v>
      </c>
      <c r="D556" s="62" t="s">
        <v>330</v>
      </c>
      <c r="E556" s="123">
        <v>1996</v>
      </c>
      <c r="F556" s="123">
        <v>1996</v>
      </c>
      <c r="G556" s="123" t="s">
        <v>43</v>
      </c>
      <c r="H556" s="123">
        <v>3</v>
      </c>
      <c r="I556" s="123">
        <v>2</v>
      </c>
      <c r="J556" s="64">
        <v>1212.9000000000001</v>
      </c>
      <c r="K556" s="64">
        <v>969.5</v>
      </c>
      <c r="L556" s="64">
        <v>83.1</v>
      </c>
      <c r="M556" s="124">
        <v>29</v>
      </c>
      <c r="N556" s="63">
        <f t="shared" si="339"/>
        <v>4384839.7268517409</v>
      </c>
      <c r="O556" s="64"/>
      <c r="P556" s="65">
        <v>1063992.5620395201</v>
      </c>
      <c r="Q556" s="65"/>
      <c r="R556" s="65">
        <f>+AR556</f>
        <v>121633.47</v>
      </c>
      <c r="S556" s="65">
        <f>+AS556</f>
        <v>1672272.688003453</v>
      </c>
      <c r="T556" s="65">
        <f>+'Приложение №2'!E565-'Приложение №1'!P556-'Приложение №1'!Q556-'Приложение №1'!R556-'Приложение №1'!S556</f>
        <v>1526941.0068087685</v>
      </c>
      <c r="U556" s="65">
        <f t="shared" si="340"/>
        <v>4522.7846589497067</v>
      </c>
      <c r="V556" s="65">
        <v>1230.2830200640001</v>
      </c>
      <c r="W556" s="126">
        <v>2024</v>
      </c>
      <c r="X556" s="127" t="e">
        <f>+#REF!-'[1]Приложение №1'!$P596</f>
        <v>#REF!</v>
      </c>
      <c r="Z556" s="63">
        <f t="shared" si="347"/>
        <v>8757819.8400000017</v>
      </c>
      <c r="AA556" s="64">
        <v>4004514.1821484803</v>
      </c>
      <c r="AB556" s="64">
        <v>2086346.4776985601</v>
      </c>
      <c r="AC556" s="64">
        <v>863302.14653759997</v>
      </c>
      <c r="AD556" s="64">
        <v>448610.79529728007</v>
      </c>
      <c r="AE556" s="64">
        <v>0</v>
      </c>
      <c r="AF556" s="64"/>
      <c r="AG556" s="64">
        <v>327305.36184192001</v>
      </c>
      <c r="AH556" s="64">
        <v>0</v>
      </c>
      <c r="AI556" s="64">
        <v>0</v>
      </c>
      <c r="AJ556" s="64">
        <v>0</v>
      </c>
      <c r="AK556" s="64">
        <v>0</v>
      </c>
      <c r="AL556" s="64">
        <v>0</v>
      </c>
      <c r="AM556" s="64">
        <v>771121.50719999999</v>
      </c>
      <c r="AN556" s="65">
        <v>87578.198400000023</v>
      </c>
      <c r="AO556" s="66">
        <v>169041.17087616003</v>
      </c>
      <c r="AP556" s="128">
        <f>+N556-'Приложение №2'!E565</f>
        <v>0</v>
      </c>
      <c r="AQ556" s="38">
        <f>672957.62-R234</f>
        <v>-121633.46999999997</v>
      </c>
      <c r="AR556" s="25">
        <f t="shared" ref="AR556:AR558" si="351">+(K556*10.5+L556*21)*12*0.85</f>
        <v>121633.47</v>
      </c>
      <c r="AS556" s="25">
        <f>+(K556*10.5+L556*21)*12*30-S234</f>
        <v>1672272.688003453</v>
      </c>
      <c r="AT556" s="127">
        <f t="shared" si="349"/>
        <v>0</v>
      </c>
      <c r="AU556" s="127">
        <f>+P556-'[6]Приложение №1'!$P514</f>
        <v>0</v>
      </c>
      <c r="AV556" s="127">
        <f>+Q556-'[6]Приложение №1'!$Q514</f>
        <v>0</v>
      </c>
      <c r="AW556" s="88">
        <f t="shared" si="291"/>
        <v>4384839.7268517418</v>
      </c>
      <c r="AX556" s="64"/>
      <c r="AY556" s="64"/>
      <c r="AZ556" s="64"/>
      <c r="BA556" s="64"/>
      <c r="BB556" s="64">
        <v>0</v>
      </c>
      <c r="BC556" s="64"/>
      <c r="BD556" s="64"/>
      <c r="BE556" s="64">
        <v>0</v>
      </c>
      <c r="BF556" s="64">
        <v>0</v>
      </c>
      <c r="BG556" s="64">
        <v>4291004.1566971149</v>
      </c>
      <c r="BH556" s="64">
        <v>0</v>
      </c>
      <c r="BI556" s="64">
        <v>0</v>
      </c>
      <c r="BJ556" s="64"/>
      <c r="BK556" s="65"/>
      <c r="BL556" s="66">
        <v>93835.570154627276</v>
      </c>
    </row>
    <row r="557" spans="1:64" x14ac:dyDescent="0.25">
      <c r="A557" s="141">
        <f t="shared" si="336"/>
        <v>538</v>
      </c>
      <c r="B557" s="142">
        <f t="shared" si="337"/>
        <v>80</v>
      </c>
      <c r="C557" s="62" t="s">
        <v>82</v>
      </c>
      <c r="D557" s="62" t="s">
        <v>664</v>
      </c>
      <c r="E557" s="123">
        <v>1983</v>
      </c>
      <c r="F557" s="123">
        <v>2007</v>
      </c>
      <c r="G557" s="123" t="s">
        <v>43</v>
      </c>
      <c r="H557" s="123">
        <v>5</v>
      </c>
      <c r="I557" s="123">
        <v>3</v>
      </c>
      <c r="J557" s="64">
        <v>5113.2</v>
      </c>
      <c r="K557" s="64">
        <v>4295.2</v>
      </c>
      <c r="L557" s="64">
        <v>0</v>
      </c>
      <c r="M557" s="124">
        <v>187</v>
      </c>
      <c r="N557" s="63">
        <f t="shared" si="339"/>
        <v>4315572.956732153</v>
      </c>
      <c r="O557" s="64"/>
      <c r="P557" s="65"/>
      <c r="Q557" s="65"/>
      <c r="R557" s="65">
        <f t="shared" si="343"/>
        <v>3028514.54</v>
      </c>
      <c r="S557" s="65">
        <f>+'Приложение №2'!E566-'Приложение №1'!R557</f>
        <v>1287058.4167321529</v>
      </c>
      <c r="T557" s="65">
        <v>0</v>
      </c>
      <c r="U557" s="65">
        <f t="shared" si="340"/>
        <v>1004.7431916400059</v>
      </c>
      <c r="V557" s="65">
        <v>1231.2830200640001</v>
      </c>
      <c r="W557" s="126">
        <v>2024</v>
      </c>
      <c r="X557" s="127" t="e">
        <f>+#REF!-'[1]Приложение №1'!$P597</f>
        <v>#REF!</v>
      </c>
      <c r="Z557" s="63">
        <f t="shared" si="347"/>
        <v>17280414.083158389</v>
      </c>
      <c r="AA557" s="64">
        <v>10767125.593739318</v>
      </c>
      <c r="AB557" s="64">
        <v>0</v>
      </c>
      <c r="AC557" s="64">
        <v>4113978.3002970773</v>
      </c>
      <c r="AD557" s="64">
        <v>0</v>
      </c>
      <c r="AE557" s="64">
        <v>0</v>
      </c>
      <c r="AF557" s="64"/>
      <c r="AG557" s="64">
        <v>447036.35546105617</v>
      </c>
      <c r="AH557" s="64">
        <v>0</v>
      </c>
      <c r="AI557" s="64">
        <v>0</v>
      </c>
      <c r="AJ557" s="64">
        <v>0</v>
      </c>
      <c r="AK557" s="64">
        <v>0</v>
      </c>
      <c r="AL557" s="64">
        <v>0</v>
      </c>
      <c r="AM557" s="64">
        <v>1444274.3103040662</v>
      </c>
      <c r="AN557" s="65">
        <v>172804.14083158388</v>
      </c>
      <c r="AO557" s="66">
        <v>335195.38252528664</v>
      </c>
      <c r="AP557" s="128">
        <f>+N557-'Приложение №2'!E566</f>
        <v>0</v>
      </c>
      <c r="AQ557" s="38">
        <v>2568498.62</v>
      </c>
      <c r="AR557" s="25">
        <f t="shared" si="351"/>
        <v>460015.91999999993</v>
      </c>
      <c r="AS557" s="25">
        <f>+(K557*10.5+L557*21)*12*30</f>
        <v>16235855.999999998</v>
      </c>
      <c r="AT557" s="127">
        <f t="shared" si="349"/>
        <v>-14948797.583267845</v>
      </c>
      <c r="AU557" s="127">
        <f>+P557-'[6]Приложение №1'!$P515</f>
        <v>0</v>
      </c>
      <c r="AV557" s="127">
        <f>+Q557-'[6]Приложение №1'!$Q515</f>
        <v>0</v>
      </c>
      <c r="AW557" s="88">
        <f t="shared" ref="AW557:AW620" si="352">SUBTOTAL(9,AX557:BL557)</f>
        <v>4315572.956732153</v>
      </c>
      <c r="AX557" s="64"/>
      <c r="AY557" s="64">
        <v>0</v>
      </c>
      <c r="AZ557" s="64">
        <v>4223219.6954580853</v>
      </c>
      <c r="BA557" s="64">
        <v>0</v>
      </c>
      <c r="BB557" s="64">
        <v>0</v>
      </c>
      <c r="BC557" s="64"/>
      <c r="BD557" s="64">
        <v>0</v>
      </c>
      <c r="BE557" s="64">
        <v>0</v>
      </c>
      <c r="BF557" s="64">
        <v>0</v>
      </c>
      <c r="BG557" s="64">
        <v>0</v>
      </c>
      <c r="BH557" s="64">
        <v>0</v>
      </c>
      <c r="BI557" s="64">
        <v>0</v>
      </c>
      <c r="BJ557" s="64"/>
      <c r="BK557" s="65"/>
      <c r="BL557" s="66">
        <v>92353.261274068078</v>
      </c>
    </row>
    <row r="558" spans="1:64" x14ac:dyDescent="0.25">
      <c r="A558" s="141">
        <f t="shared" si="336"/>
        <v>539</v>
      </c>
      <c r="B558" s="142">
        <f t="shared" si="337"/>
        <v>81</v>
      </c>
      <c r="C558" s="62" t="s">
        <v>82</v>
      </c>
      <c r="D558" s="62" t="s">
        <v>665</v>
      </c>
      <c r="E558" s="123">
        <v>1980</v>
      </c>
      <c r="F558" s="123">
        <v>2011</v>
      </c>
      <c r="G558" s="123" t="s">
        <v>43</v>
      </c>
      <c r="H558" s="123">
        <v>5</v>
      </c>
      <c r="I558" s="123">
        <v>6</v>
      </c>
      <c r="J558" s="64">
        <v>6841.9</v>
      </c>
      <c r="K558" s="64">
        <v>5717.4</v>
      </c>
      <c r="L558" s="64">
        <v>467.7</v>
      </c>
      <c r="M558" s="124">
        <v>273</v>
      </c>
      <c r="N558" s="63">
        <f t="shared" si="339"/>
        <v>31196291.718629997</v>
      </c>
      <c r="O558" s="64"/>
      <c r="P558" s="65">
        <v>0</v>
      </c>
      <c r="Q558" s="65"/>
      <c r="R558" s="65">
        <f t="shared" si="343"/>
        <v>4335485.8100000005</v>
      </c>
      <c r="S558" s="65">
        <f>+AS558</f>
        <v>25147583.999999996</v>
      </c>
      <c r="T558" s="65">
        <f>+'Приложение №2'!E567-'Приложение №1'!P558-'Приложение №1'!R558-'Приложение №1'!S558</f>
        <v>1713221.9086300023</v>
      </c>
      <c r="U558" s="65">
        <f t="shared" si="340"/>
        <v>5456.3773251180601</v>
      </c>
      <c r="V558" s="65">
        <v>1232.2830200640001</v>
      </c>
      <c r="W558" s="126">
        <v>2024</v>
      </c>
      <c r="X558" s="127" t="e">
        <f>+#REF!-'[1]Приложение №1'!$P598</f>
        <v>#REF!</v>
      </c>
      <c r="Z558" s="63">
        <f t="shared" si="347"/>
        <v>28963511.157484796</v>
      </c>
      <c r="AA558" s="64">
        <v>0</v>
      </c>
      <c r="AB558" s="64">
        <v>0</v>
      </c>
      <c r="AC558" s="64">
        <v>0</v>
      </c>
      <c r="AD558" s="64">
        <v>0</v>
      </c>
      <c r="AE558" s="64">
        <v>0</v>
      </c>
      <c r="AF558" s="64"/>
      <c r="AG558" s="64">
        <v>0</v>
      </c>
      <c r="AH558" s="64">
        <v>0</v>
      </c>
      <c r="AI558" s="64">
        <v>0</v>
      </c>
      <c r="AJ558" s="64">
        <v>0</v>
      </c>
      <c r="AK558" s="64">
        <v>25225885.896656014</v>
      </c>
      <c r="AL558" s="64">
        <v>0</v>
      </c>
      <c r="AM558" s="64">
        <v>2896351.11574848</v>
      </c>
      <c r="AN558" s="65">
        <v>289635.11157484795</v>
      </c>
      <c r="AO558" s="66">
        <v>551639.03350545547</v>
      </c>
      <c r="AP558" s="128">
        <f>+N558-'Приложение №2'!E567</f>
        <v>0</v>
      </c>
      <c r="AQ558" s="38">
        <v>3622970.93</v>
      </c>
      <c r="AR558" s="25">
        <f t="shared" si="351"/>
        <v>712514.87999999989</v>
      </c>
      <c r="AS558" s="25">
        <f>+(K558*10.5+L558*21)*12*30</f>
        <v>25147583.999999996</v>
      </c>
      <c r="AT558" s="127">
        <f t="shared" si="349"/>
        <v>0</v>
      </c>
      <c r="AU558" s="127">
        <f>+P558-'[6]Приложение №1'!$P516</f>
        <v>0</v>
      </c>
      <c r="AV558" s="127">
        <f>+Q558-'[6]Приложение №1'!$Q516</f>
        <v>0</v>
      </c>
      <c r="AW558" s="88">
        <f t="shared" si="352"/>
        <v>31196291.718629997</v>
      </c>
      <c r="AX558" s="64">
        <v>0</v>
      </c>
      <c r="AY558" s="64">
        <v>0</v>
      </c>
      <c r="AZ558" s="64">
        <v>0</v>
      </c>
      <c r="BA558" s="64">
        <v>0</v>
      </c>
      <c r="BB558" s="64">
        <v>0</v>
      </c>
      <c r="BC558" s="64"/>
      <c r="BD558" s="64"/>
      <c r="BE558" s="64">
        <v>0</v>
      </c>
      <c r="BF558" s="64">
        <v>0</v>
      </c>
      <c r="BG558" s="64">
        <v>0</v>
      </c>
      <c r="BH558" s="64">
        <v>30528691.075851314</v>
      </c>
      <c r="BI558" s="64">
        <v>0</v>
      </c>
      <c r="BJ558" s="64"/>
      <c r="BK558" s="65"/>
      <c r="BL558" s="66">
        <v>667600.64277868194</v>
      </c>
    </row>
    <row r="559" spans="1:64" x14ac:dyDescent="0.25">
      <c r="A559" s="141">
        <f t="shared" si="336"/>
        <v>540</v>
      </c>
      <c r="B559" s="142">
        <f t="shared" si="337"/>
        <v>82</v>
      </c>
      <c r="C559" s="62" t="s">
        <v>82</v>
      </c>
      <c r="D559" s="62" t="s">
        <v>337</v>
      </c>
      <c r="E559" s="123">
        <v>1987</v>
      </c>
      <c r="F559" s="123">
        <v>2017</v>
      </c>
      <c r="G559" s="123" t="s">
        <v>43</v>
      </c>
      <c r="H559" s="123">
        <v>9</v>
      </c>
      <c r="I559" s="123">
        <v>1</v>
      </c>
      <c r="J559" s="64">
        <v>2767.8</v>
      </c>
      <c r="K559" s="64">
        <v>2150.8000000000002</v>
      </c>
      <c r="L559" s="64">
        <v>66.8</v>
      </c>
      <c r="M559" s="124">
        <v>94</v>
      </c>
      <c r="N559" s="63">
        <f t="shared" si="339"/>
        <v>16519834.062914655</v>
      </c>
      <c r="O559" s="64"/>
      <c r="P559" s="65">
        <v>2937535.5499065467</v>
      </c>
      <c r="Q559" s="65"/>
      <c r="R559" s="65">
        <f t="shared" si="343"/>
        <v>377166.86239999993</v>
      </c>
      <c r="S559" s="65">
        <f>+AS559</f>
        <v>11370052.800000001</v>
      </c>
      <c r="T559" s="65">
        <f>+'Приложение №2'!E568-'Приложение №1'!P559-'Приложение №1'!R559-'Приложение №1'!S559</f>
        <v>1835078.8506081067</v>
      </c>
      <c r="U559" s="65">
        <f t="shared" si="340"/>
        <v>7680.7857833897406</v>
      </c>
      <c r="V559" s="65">
        <v>1233.2830200640001</v>
      </c>
      <c r="W559" s="126">
        <v>2024</v>
      </c>
      <c r="X559" s="127" t="e">
        <f>+#REF!-'[1]Приложение №1'!$P1352</f>
        <v>#REF!</v>
      </c>
      <c r="Z559" s="63">
        <f t="shared" si="347"/>
        <v>24358296.106563497</v>
      </c>
      <c r="AA559" s="64">
        <v>5322442.2844350552</v>
      </c>
      <c r="AB559" s="64">
        <v>2129484.5377048999</v>
      </c>
      <c r="AC559" s="64">
        <v>0</v>
      </c>
      <c r="AD559" s="64">
        <v>0</v>
      </c>
      <c r="AE559" s="64">
        <v>0</v>
      </c>
      <c r="AF559" s="64"/>
      <c r="AG559" s="64">
        <v>236468.68196531132</v>
      </c>
      <c r="AH559" s="64">
        <v>0</v>
      </c>
      <c r="AI559" s="64">
        <v>0</v>
      </c>
      <c r="AJ559" s="64">
        <v>0</v>
      </c>
      <c r="AK559" s="64">
        <v>13665253.188203763</v>
      </c>
      <c r="AL559" s="64">
        <v>0</v>
      </c>
      <c r="AM559" s="64">
        <v>2294103.4047365393</v>
      </c>
      <c r="AN559" s="65">
        <v>243582.96106563497</v>
      </c>
      <c r="AO559" s="66">
        <v>466961.04845229239</v>
      </c>
      <c r="AP559" s="128">
        <f>+N559-'Приложение №2'!E568</f>
        <v>0</v>
      </c>
      <c r="AQ559" s="127">
        <f>1756247.2-R237</f>
        <v>55015.366399999941</v>
      </c>
      <c r="AR559" s="25">
        <f>+(K559*13.95+L559*23.65)*12*0.85</f>
        <v>322151.49599999998</v>
      </c>
      <c r="AS559" s="25">
        <f>+(K559*13.95+L559*23.65)*12*30</f>
        <v>11370052.800000001</v>
      </c>
      <c r="AT559" s="127">
        <f t="shared" si="349"/>
        <v>0</v>
      </c>
      <c r="AU559" s="127">
        <f>+P559-'[6]Приложение №1'!$P517</f>
        <v>0</v>
      </c>
      <c r="AV559" s="127">
        <f>+Q559-'[6]Приложение №1'!$Q517</f>
        <v>0</v>
      </c>
      <c r="AW559" s="88">
        <f t="shared" si="352"/>
        <v>16519834.062914653</v>
      </c>
      <c r="AX559" s="64"/>
      <c r="AY559" s="64"/>
      <c r="AZ559" s="64"/>
      <c r="BA559" s="64"/>
      <c r="BB559" s="64"/>
      <c r="BC559" s="64"/>
      <c r="BD559" s="64"/>
      <c r="BE559" s="64">
        <v>0</v>
      </c>
      <c r="BF559" s="64">
        <v>0</v>
      </c>
      <c r="BG559" s="64">
        <v>0</v>
      </c>
      <c r="BH559" s="64">
        <v>16225158.467876311</v>
      </c>
      <c r="BI559" s="64">
        <v>0</v>
      </c>
      <c r="BJ559" s="64"/>
      <c r="BK559" s="65"/>
      <c r="BL559" s="66">
        <v>294675.59503834188</v>
      </c>
    </row>
    <row r="560" spans="1:64" x14ac:dyDescent="0.25">
      <c r="A560" s="141">
        <f t="shared" si="336"/>
        <v>541</v>
      </c>
      <c r="B560" s="142">
        <f t="shared" si="337"/>
        <v>83</v>
      </c>
      <c r="C560" s="62" t="s">
        <v>82</v>
      </c>
      <c r="D560" s="62" t="s">
        <v>1126</v>
      </c>
      <c r="E560" s="123">
        <v>1987</v>
      </c>
      <c r="F560" s="123">
        <v>2016</v>
      </c>
      <c r="G560" s="123" t="s">
        <v>43</v>
      </c>
      <c r="H560" s="123">
        <v>5</v>
      </c>
      <c r="I560" s="123">
        <v>4</v>
      </c>
      <c r="J560" s="64">
        <v>5859.43</v>
      </c>
      <c r="K560" s="64">
        <v>4644.3999999999996</v>
      </c>
      <c r="L560" s="64">
        <v>278.60000000000002</v>
      </c>
      <c r="M560" s="124">
        <v>182</v>
      </c>
      <c r="N560" s="63">
        <f t="shared" si="339"/>
        <v>10112080.947587986</v>
      </c>
      <c r="O560" s="64"/>
      <c r="P560" s="65"/>
      <c r="Q560" s="65"/>
      <c r="R560" s="65">
        <f t="shared" si="343"/>
        <v>3616546.06</v>
      </c>
      <c r="S560" s="65">
        <f>+'Приложение №2'!E569-'Приложение №1'!R560</f>
        <v>6495534.887587985</v>
      </c>
      <c r="T560" s="65">
        <v>0</v>
      </c>
      <c r="U560" s="65">
        <f t="shared" si="340"/>
        <v>2177.2631443432924</v>
      </c>
      <c r="V560" s="65">
        <v>1234.2830200640001</v>
      </c>
      <c r="W560" s="126">
        <v>2024</v>
      </c>
      <c r="X560" s="127" t="e">
        <f>+#REF!-'[1]Приложение №1'!$P601</f>
        <v>#REF!</v>
      </c>
      <c r="Z560" s="63">
        <f t="shared" si="347"/>
        <v>8468147.2933200002</v>
      </c>
      <c r="AA560" s="64">
        <v>0</v>
      </c>
      <c r="AB560" s="64">
        <v>0</v>
      </c>
      <c r="AC560" s="64">
        <v>0</v>
      </c>
      <c r="AD560" s="64">
        <v>0</v>
      </c>
      <c r="AE560" s="64">
        <v>0</v>
      </c>
      <c r="AF560" s="64"/>
      <c r="AG560" s="64">
        <v>0</v>
      </c>
      <c r="AH560" s="64">
        <v>0</v>
      </c>
      <c r="AI560" s="64">
        <v>0</v>
      </c>
      <c r="AJ560" s="64">
        <v>7375366.7577062268</v>
      </c>
      <c r="AK560" s="64">
        <v>0</v>
      </c>
      <c r="AL560" s="64">
        <v>0</v>
      </c>
      <c r="AM560" s="64">
        <v>846814.72933200002</v>
      </c>
      <c r="AN560" s="65">
        <v>84681.472933199999</v>
      </c>
      <c r="AO560" s="66">
        <v>161284.33334857272</v>
      </c>
      <c r="AP560" s="128">
        <f>+N560-'Приложение №2'!E569</f>
        <v>0</v>
      </c>
      <c r="AQ560" s="38">
        <v>3059454.7</v>
      </c>
      <c r="AR560" s="25">
        <f t="shared" ref="AR560:AR562" si="353">+(K560*10.5+L560*21)*12*0.85</f>
        <v>557091.36</v>
      </c>
      <c r="AS560" s="25">
        <f>+(K560*10.5+L560*21)*12*30</f>
        <v>19662048</v>
      </c>
      <c r="AT560" s="127">
        <f t="shared" si="349"/>
        <v>-13166513.112412015</v>
      </c>
      <c r="AU560" s="127">
        <f>+P560-'[6]Приложение №1'!$P518</f>
        <v>0</v>
      </c>
      <c r="AV560" s="127">
        <f>+Q560-'[6]Приложение №1'!$Q518</f>
        <v>0</v>
      </c>
      <c r="AW560" s="88">
        <f t="shared" si="352"/>
        <v>10112080.947587986</v>
      </c>
      <c r="AX560" s="64">
        <v>0</v>
      </c>
      <c r="AY560" s="64">
        <v>0</v>
      </c>
      <c r="AZ560" s="64">
        <v>0</v>
      </c>
      <c r="BA560" s="64">
        <v>0</v>
      </c>
      <c r="BB560" s="64">
        <v>0</v>
      </c>
      <c r="BC560" s="64"/>
      <c r="BD560" s="64"/>
      <c r="BE560" s="64">
        <v>0</v>
      </c>
      <c r="BF560" s="64">
        <v>0</v>
      </c>
      <c r="BG560" s="64">
        <v>9895682.4153096024</v>
      </c>
      <c r="BH560" s="64">
        <v>0</v>
      </c>
      <c r="BI560" s="64">
        <v>0</v>
      </c>
      <c r="BJ560" s="64"/>
      <c r="BK560" s="65"/>
      <c r="BL560" s="66">
        <v>216398.53227838289</v>
      </c>
    </row>
    <row r="561" spans="1:64" x14ac:dyDescent="0.25">
      <c r="A561" s="141">
        <f t="shared" si="336"/>
        <v>542</v>
      </c>
      <c r="B561" s="142">
        <f t="shared" si="337"/>
        <v>84</v>
      </c>
      <c r="C561" s="62" t="s">
        <v>82</v>
      </c>
      <c r="D561" s="62" t="s">
        <v>1070</v>
      </c>
      <c r="E561" s="123">
        <v>1987</v>
      </c>
      <c r="F561" s="123">
        <v>2016</v>
      </c>
      <c r="G561" s="123" t="s">
        <v>43</v>
      </c>
      <c r="H561" s="123">
        <v>5</v>
      </c>
      <c r="I561" s="123">
        <v>5</v>
      </c>
      <c r="J561" s="64">
        <v>7155.6</v>
      </c>
      <c r="K561" s="64">
        <v>5789.5</v>
      </c>
      <c r="L561" s="64">
        <v>194.7</v>
      </c>
      <c r="M561" s="124">
        <v>243</v>
      </c>
      <c r="N561" s="63">
        <f t="shared" si="339"/>
        <v>18806450.389949635</v>
      </c>
      <c r="O561" s="64"/>
      <c r="P561" s="65">
        <v>5155802.1643344508</v>
      </c>
      <c r="Q561" s="65"/>
      <c r="R561" s="65">
        <f>+AR561</f>
        <v>661760.18999999994</v>
      </c>
      <c r="S561" s="65">
        <f>+AS561</f>
        <v>0</v>
      </c>
      <c r="T561" s="65">
        <f>+'Приложение №2'!E570-'Приложение №1'!P561-'Приложение №1'!R561-'Приложение №1'!S561</f>
        <v>12988888.035615182</v>
      </c>
      <c r="U561" s="65">
        <f t="shared" si="340"/>
        <v>3248.3721202089359</v>
      </c>
      <c r="V561" s="65">
        <v>1235.2830200640001</v>
      </c>
      <c r="W561" s="126">
        <v>2024</v>
      </c>
      <c r="X561" s="127" t="e">
        <f>+#REF!-'[1]Приложение №1'!$P971</f>
        <v>#REF!</v>
      </c>
      <c r="Z561" s="63">
        <f t="shared" si="347"/>
        <v>41277450.38367226</v>
      </c>
      <c r="AA561" s="64">
        <v>11858561.038653761</v>
      </c>
      <c r="AB561" s="64">
        <v>0</v>
      </c>
      <c r="AC561" s="64">
        <v>0</v>
      </c>
      <c r="AD561" s="64">
        <v>4785667.3703647591</v>
      </c>
      <c r="AE561" s="64">
        <v>0</v>
      </c>
      <c r="AF561" s="64"/>
      <c r="AG561" s="64">
        <v>0</v>
      </c>
      <c r="AH561" s="64">
        <v>0</v>
      </c>
      <c r="AI561" s="64">
        <v>19618197.919447646</v>
      </c>
      <c r="AJ561" s="64">
        <v>0</v>
      </c>
      <c r="AK561" s="64">
        <v>0</v>
      </c>
      <c r="AL561" s="64">
        <v>0</v>
      </c>
      <c r="AM561" s="64">
        <v>3809263.7313926965</v>
      </c>
      <c r="AN561" s="65">
        <v>412774.50383672258</v>
      </c>
      <c r="AO561" s="66">
        <v>792985.81997667684</v>
      </c>
      <c r="AP561" s="128">
        <f>+N561-'Приложение №2'!E570</f>
        <v>0</v>
      </c>
      <c r="AQ561" s="38">
        <f>3643194.21-R238</f>
        <v>-661760.19000000041</v>
      </c>
      <c r="AR561" s="25">
        <f t="shared" si="353"/>
        <v>661760.18999999994</v>
      </c>
      <c r="AS561" s="25">
        <f>+(K561*10.5+L561*21)*12*30-S238</f>
        <v>0</v>
      </c>
      <c r="AT561" s="127">
        <f t="shared" si="349"/>
        <v>0</v>
      </c>
      <c r="AU561" s="127">
        <f>+P561-'[6]Приложение №1'!$P519</f>
        <v>0</v>
      </c>
      <c r="AV561" s="127">
        <f>+Q561-'[6]Приложение №1'!$Q519</f>
        <v>0</v>
      </c>
      <c r="AW561" s="88">
        <f t="shared" si="352"/>
        <v>18806450.389949631</v>
      </c>
      <c r="AX561" s="64"/>
      <c r="AY561" s="64">
        <v>0</v>
      </c>
      <c r="AZ561" s="64">
        <v>0</v>
      </c>
      <c r="BA561" s="64">
        <v>5691095.7505916627</v>
      </c>
      <c r="BB561" s="64">
        <v>0</v>
      </c>
      <c r="BC561" s="64"/>
      <c r="BD561" s="64"/>
      <c r="BE561" s="64">
        <v>0</v>
      </c>
      <c r="BF561" s="64"/>
      <c r="BG561" s="64">
        <v>12028791.937780973</v>
      </c>
      <c r="BH561" s="64">
        <v>0</v>
      </c>
      <c r="BI561" s="64">
        <v>0</v>
      </c>
      <c r="BJ561" s="64"/>
      <c r="BK561" s="65"/>
      <c r="BL561" s="66">
        <v>1086562.7015769957</v>
      </c>
    </row>
    <row r="562" spans="1:64" x14ac:dyDescent="0.25">
      <c r="A562" s="141">
        <f t="shared" si="336"/>
        <v>543</v>
      </c>
      <c r="B562" s="142">
        <f t="shared" si="337"/>
        <v>85</v>
      </c>
      <c r="C562" s="62" t="s">
        <v>82</v>
      </c>
      <c r="D562" s="62" t="s">
        <v>1127</v>
      </c>
      <c r="E562" s="123">
        <v>1995</v>
      </c>
      <c r="F562" s="123">
        <v>1995</v>
      </c>
      <c r="G562" s="123" t="s">
        <v>43</v>
      </c>
      <c r="H562" s="123">
        <v>5</v>
      </c>
      <c r="I562" s="123">
        <v>6</v>
      </c>
      <c r="J562" s="64">
        <v>5276.5</v>
      </c>
      <c r="K562" s="64">
        <v>4687.3999999999996</v>
      </c>
      <c r="L562" s="64">
        <v>0</v>
      </c>
      <c r="M562" s="124">
        <v>200</v>
      </c>
      <c r="N562" s="63">
        <f t="shared" si="339"/>
        <v>4709633.236493363</v>
      </c>
      <c r="O562" s="64"/>
      <c r="P562" s="65"/>
      <c r="Q562" s="65"/>
      <c r="R562" s="65">
        <f t="shared" si="343"/>
        <v>3190858.55</v>
      </c>
      <c r="S562" s="65">
        <f>+'Приложение №2'!E571-'Приложение №1'!R562</f>
        <v>1518774.6864933632</v>
      </c>
      <c r="T562" s="65">
        <v>0</v>
      </c>
      <c r="U562" s="65">
        <f t="shared" si="340"/>
        <v>1004.7431916400059</v>
      </c>
      <c r="V562" s="65">
        <v>1236.2830200640001</v>
      </c>
      <c r="W562" s="126">
        <v>2024</v>
      </c>
      <c r="X562" s="127" t="e">
        <f>+#REF!-'[1]Приложение №1'!$P604</f>
        <v>#REF!</v>
      </c>
      <c r="Z562" s="63">
        <f t="shared" si="347"/>
        <v>26420103.173131198</v>
      </c>
      <c r="AA562" s="64">
        <v>0</v>
      </c>
      <c r="AB562" s="64">
        <v>0</v>
      </c>
      <c r="AC562" s="64">
        <v>3550073.2194016906</v>
      </c>
      <c r="AD562" s="64">
        <v>0</v>
      </c>
      <c r="AE562" s="64">
        <v>0</v>
      </c>
      <c r="AF562" s="64"/>
      <c r="AG562" s="64">
        <v>0</v>
      </c>
      <c r="AH562" s="64">
        <v>0</v>
      </c>
      <c r="AI562" s="64">
        <v>0</v>
      </c>
      <c r="AJ562" s="64">
        <v>0</v>
      </c>
      <c r="AK562" s="64">
        <v>19460621.319649618</v>
      </c>
      <c r="AL562" s="64">
        <v>0</v>
      </c>
      <c r="AM562" s="64">
        <v>2642010.3173131198</v>
      </c>
      <c r="AN562" s="65">
        <v>264201.03173131199</v>
      </c>
      <c r="AO562" s="66">
        <v>503197.28503545688</v>
      </c>
      <c r="AP562" s="128">
        <f>+N562-'Приложение №2'!E571</f>
        <v>0</v>
      </c>
      <c r="AQ562" s="38">
        <v>2688838.01</v>
      </c>
      <c r="AR562" s="25">
        <f t="shared" si="353"/>
        <v>502020.53999999992</v>
      </c>
      <c r="AS562" s="25">
        <f>+(K562*10.5+L562*21)*12*30</f>
        <v>17718371.999999996</v>
      </c>
      <c r="AT562" s="127">
        <f t="shared" si="349"/>
        <v>-16199597.313506633</v>
      </c>
      <c r="AU562" s="127">
        <f>+P562-'[6]Приложение №1'!$P520</f>
        <v>0</v>
      </c>
      <c r="AV562" s="127">
        <f>+Q562-'[6]Приложение №1'!$Q520</f>
        <v>0</v>
      </c>
      <c r="AW562" s="88">
        <f t="shared" si="352"/>
        <v>4709633.236493363</v>
      </c>
      <c r="AX562" s="64">
        <v>0</v>
      </c>
      <c r="AY562" s="64">
        <v>0</v>
      </c>
      <c r="AZ562" s="64">
        <v>4608847.085232405</v>
      </c>
      <c r="BA562" s="64">
        <v>0</v>
      </c>
      <c r="BB562" s="64">
        <v>0</v>
      </c>
      <c r="BC562" s="64"/>
      <c r="BD562" s="64"/>
      <c r="BE562" s="64">
        <v>0</v>
      </c>
      <c r="BF562" s="64">
        <v>0</v>
      </c>
      <c r="BG562" s="64">
        <v>0</v>
      </c>
      <c r="BH562" s="64"/>
      <c r="BI562" s="64">
        <v>0</v>
      </c>
      <c r="BJ562" s="64"/>
      <c r="BK562" s="65"/>
      <c r="BL562" s="66">
        <v>100786.15126095798</v>
      </c>
    </row>
    <row r="563" spans="1:64" x14ac:dyDescent="0.25">
      <c r="A563" s="141">
        <f t="shared" si="336"/>
        <v>544</v>
      </c>
      <c r="B563" s="142">
        <f t="shared" si="337"/>
        <v>86</v>
      </c>
      <c r="C563" s="62" t="s">
        <v>82</v>
      </c>
      <c r="D563" s="62" t="s">
        <v>641</v>
      </c>
      <c r="E563" s="123">
        <v>1987</v>
      </c>
      <c r="F563" s="123">
        <v>2008</v>
      </c>
      <c r="G563" s="123" t="s">
        <v>43</v>
      </c>
      <c r="H563" s="123">
        <v>5</v>
      </c>
      <c r="I563" s="123">
        <v>6</v>
      </c>
      <c r="J563" s="64">
        <v>5142.3999999999996</v>
      </c>
      <c r="K563" s="64">
        <v>4585</v>
      </c>
      <c r="L563" s="64">
        <v>0</v>
      </c>
      <c r="M563" s="124">
        <v>184</v>
      </c>
      <c r="N563" s="95">
        <f t="shared" ref="N563" si="354">+P563+Q563+R563+S563+T563</f>
        <v>3864534.0027733012</v>
      </c>
      <c r="O563" s="64"/>
      <c r="P563" s="65"/>
      <c r="Q563" s="65"/>
      <c r="R563" s="65">
        <f t="shared" si="343"/>
        <v>0</v>
      </c>
      <c r="S563" s="65">
        <f>+'Приложение №2'!E572-'Приложение №1'!R563</f>
        <v>3864534.0027733012</v>
      </c>
      <c r="T563" s="65">
        <v>0</v>
      </c>
      <c r="U563" s="64">
        <f t="shared" ref="U563:V564" si="355">$N563/($K563+$L563)</f>
        <v>842.86455894728488</v>
      </c>
      <c r="V563" s="64">
        <f t="shared" si="355"/>
        <v>842.86455894728488</v>
      </c>
      <c r="W563" s="126">
        <v>2024</v>
      </c>
      <c r="X563" s="127" t="e">
        <f>+#REF!-'[1]Приложение №1'!$P1366</f>
        <v>#REF!</v>
      </c>
      <c r="Z563" s="63">
        <f t="shared" si="347"/>
        <v>18940870.804019675</v>
      </c>
      <c r="AA563" s="64">
        <v>9086774.7272043712</v>
      </c>
      <c r="AB563" s="64">
        <v>0</v>
      </c>
      <c r="AC563" s="64">
        <v>3471938.1437459388</v>
      </c>
      <c r="AD563" s="64">
        <v>3667079.0977160456</v>
      </c>
      <c r="AE563" s="64">
        <v>0</v>
      </c>
      <c r="AF563" s="64"/>
      <c r="AG563" s="64">
        <v>377270.48148366035</v>
      </c>
      <c r="AH563" s="64">
        <v>0</v>
      </c>
      <c r="AI563" s="64">
        <v>0</v>
      </c>
      <c r="AJ563" s="64">
        <v>0</v>
      </c>
      <c r="AK563" s="64">
        <v>0</v>
      </c>
      <c r="AL563" s="64">
        <v>0</v>
      </c>
      <c r="AM563" s="64">
        <v>1785324.2969298</v>
      </c>
      <c r="AN563" s="65">
        <v>189408.70804019674</v>
      </c>
      <c r="AO563" s="66">
        <v>363075.34889966319</v>
      </c>
      <c r="AP563" s="128">
        <f>+N563-'Приложение №2'!E572</f>
        <v>0</v>
      </c>
      <c r="AQ563" s="127">
        <f>2190820.19-R242</f>
        <v>-467670</v>
      </c>
      <c r="AR563" s="25">
        <f t="shared" ref="AR563:AR564" si="356">+(K563*10+L563*20)*12*0.85</f>
        <v>467670</v>
      </c>
      <c r="AS563" s="25">
        <f>+(K563*10+L563*20)*12*30-S242</f>
        <v>4954809.5754873585</v>
      </c>
      <c r="AT563" s="127">
        <f t="shared" si="349"/>
        <v>-1090275.5727140573</v>
      </c>
      <c r="AU563" s="127">
        <f>+P563-'[6]Приложение №1'!$P636</f>
        <v>0</v>
      </c>
      <c r="AV563" s="127">
        <f>+Q563-'[6]Приложение №1'!$Q636</f>
        <v>0</v>
      </c>
      <c r="AW563" s="63">
        <f t="shared" si="352"/>
        <v>3864534.0027733012</v>
      </c>
      <c r="AX563" s="64"/>
      <c r="AY563" s="64">
        <v>0</v>
      </c>
      <c r="AZ563" s="64">
        <v>3471938.1437459388</v>
      </c>
      <c r="BA563" s="64"/>
      <c r="BB563" s="64">
        <v>0</v>
      </c>
      <c r="BC563" s="64"/>
      <c r="BD563" s="64"/>
      <c r="BE563" s="64">
        <v>0</v>
      </c>
      <c r="BF563" s="64">
        <v>0</v>
      </c>
      <c r="BG563" s="64">
        <v>0</v>
      </c>
      <c r="BH563" s="64">
        <v>0</v>
      </c>
      <c r="BI563" s="64">
        <v>0</v>
      </c>
      <c r="BJ563" s="64"/>
      <c r="BK563" s="65"/>
      <c r="BL563" s="66">
        <v>392595.8590273626</v>
      </c>
    </row>
    <row r="564" spans="1:64" x14ac:dyDescent="0.25">
      <c r="A564" s="141">
        <f t="shared" si="336"/>
        <v>545</v>
      </c>
      <c r="B564" s="142">
        <f t="shared" si="337"/>
        <v>87</v>
      </c>
      <c r="C564" s="62" t="s">
        <v>82</v>
      </c>
      <c r="D564" s="62" t="s">
        <v>338</v>
      </c>
      <c r="E564" s="123">
        <v>1988</v>
      </c>
      <c r="F564" s="123">
        <v>2008</v>
      </c>
      <c r="G564" s="123" t="s">
        <v>43</v>
      </c>
      <c r="H564" s="123">
        <v>5</v>
      </c>
      <c r="I564" s="123">
        <v>6</v>
      </c>
      <c r="J564" s="64">
        <v>5139.5</v>
      </c>
      <c r="K564" s="64">
        <v>4552.6000000000004</v>
      </c>
      <c r="L564" s="64">
        <v>68.400000000000006</v>
      </c>
      <c r="M564" s="124">
        <v>203</v>
      </c>
      <c r="N564" s="95">
        <f>+P564+Q564+R564+S564+T564</f>
        <v>3869781.6704977094</v>
      </c>
      <c r="O564" s="64"/>
      <c r="P564" s="65">
        <f>+'Приложение №2'!E573-'Приложение №1'!S564</f>
        <v>0</v>
      </c>
      <c r="Q564" s="65"/>
      <c r="R564" s="65"/>
      <c r="S564" s="65">
        <v>3869781.6704977094</v>
      </c>
      <c r="T564" s="65">
        <v>0</v>
      </c>
      <c r="U564" s="64">
        <f t="shared" si="355"/>
        <v>837.43381746325679</v>
      </c>
      <c r="V564" s="64">
        <f t="shared" si="355"/>
        <v>837.43381746325679</v>
      </c>
      <c r="W564" s="126">
        <v>2024</v>
      </c>
      <c r="X564" s="127" t="e">
        <f>+#REF!-'[1]Приложение №1'!$P1367</f>
        <v>#REF!</v>
      </c>
      <c r="Z564" s="63">
        <f t="shared" si="347"/>
        <v>19009395.423817348</v>
      </c>
      <c r="AA564" s="64">
        <v>9139483.8463669065</v>
      </c>
      <c r="AB564" s="64">
        <v>0</v>
      </c>
      <c r="AC564" s="64">
        <v>3475648.0455939346</v>
      </c>
      <c r="AD564" s="64">
        <v>3670997.5153139713</v>
      </c>
      <c r="AE564" s="64">
        <v>0</v>
      </c>
      <c r="AF564" s="64"/>
      <c r="AG564" s="64">
        <v>377673.60976489773</v>
      </c>
      <c r="AH564" s="64">
        <v>0</v>
      </c>
      <c r="AI564" s="64">
        <v>0</v>
      </c>
      <c r="AJ564" s="64">
        <v>0</v>
      </c>
      <c r="AK564" s="64">
        <v>0</v>
      </c>
      <c r="AL564" s="64">
        <v>0</v>
      </c>
      <c r="AM564" s="64">
        <v>1791094.8304623633</v>
      </c>
      <c r="AN564" s="65">
        <v>190093.95423817349</v>
      </c>
      <c r="AO564" s="66">
        <v>364403.6220770998</v>
      </c>
      <c r="AP564" s="128">
        <f>+N564-'Приложение №2'!E573</f>
        <v>0</v>
      </c>
      <c r="AQ564" s="127">
        <f>2180464.78-R244</f>
        <v>-478318.79999999981</v>
      </c>
      <c r="AR564" s="25">
        <f t="shared" si="356"/>
        <v>478318.8</v>
      </c>
      <c r="AS564" s="25">
        <f>+(K564*10+L564*20)*12*30-S244</f>
        <v>4598812.5179409012</v>
      </c>
      <c r="AT564" s="127">
        <f t="shared" si="349"/>
        <v>-729030.8474431918</v>
      </c>
      <c r="AU564" s="127">
        <f>+P564-'[6]Приложение №1'!$P636</f>
        <v>0</v>
      </c>
      <c r="AV564" s="127">
        <f>+Q564-'[6]Приложение №1'!$Q636</f>
        <v>0</v>
      </c>
      <c r="AW564" s="63">
        <f t="shared" si="352"/>
        <v>3869781.6704977094</v>
      </c>
      <c r="AX564" s="64"/>
      <c r="AY564" s="64">
        <v>0</v>
      </c>
      <c r="AZ564" s="64">
        <v>3475648.0455939346</v>
      </c>
      <c r="BA564" s="64"/>
      <c r="BB564" s="64">
        <v>0</v>
      </c>
      <c r="BC564" s="64"/>
      <c r="BD564" s="64"/>
      <c r="BE564" s="64">
        <v>0</v>
      </c>
      <c r="BF564" s="64">
        <v>0</v>
      </c>
      <c r="BG564" s="64">
        <v>0</v>
      </c>
      <c r="BH564" s="64">
        <v>0</v>
      </c>
      <c r="BI564" s="64">
        <v>0</v>
      </c>
      <c r="BJ564" s="64"/>
      <c r="BK564" s="65"/>
      <c r="BL564" s="66">
        <v>394133.62490377499</v>
      </c>
    </row>
    <row r="565" spans="1:64" x14ac:dyDescent="0.25">
      <c r="A565" s="141">
        <f t="shared" si="336"/>
        <v>546</v>
      </c>
      <c r="B565" s="142">
        <f t="shared" si="337"/>
        <v>88</v>
      </c>
      <c r="C565" s="62" t="s">
        <v>82</v>
      </c>
      <c r="D565" s="62" t="s">
        <v>339</v>
      </c>
      <c r="E565" s="123">
        <v>1989</v>
      </c>
      <c r="F565" s="123">
        <v>2016</v>
      </c>
      <c r="G565" s="123" t="s">
        <v>43</v>
      </c>
      <c r="H565" s="123">
        <v>5</v>
      </c>
      <c r="I565" s="123">
        <v>8</v>
      </c>
      <c r="J565" s="64">
        <v>7135.2</v>
      </c>
      <c r="K565" s="64">
        <v>6073.2</v>
      </c>
      <c r="L565" s="64">
        <v>1062</v>
      </c>
      <c r="M565" s="124">
        <v>253</v>
      </c>
      <c r="N565" s="63">
        <f t="shared" si="339"/>
        <v>40235267.283999994</v>
      </c>
      <c r="O565" s="64"/>
      <c r="P565" s="65"/>
      <c r="Q565" s="65"/>
      <c r="R565" s="65">
        <f t="shared" si="343"/>
        <v>4432237.84</v>
      </c>
      <c r="S565" s="65">
        <f>+AS565</f>
        <v>30985416.000000004</v>
      </c>
      <c r="T565" s="65">
        <f>+'Приложение №2'!E574-'Приложение №1'!P565-'Приложение №1'!R565-'Приложение №1'!S565</f>
        <v>4817613.4439999871</v>
      </c>
      <c r="U565" s="65">
        <f t="shared" si="340"/>
        <v>6625.0522432984253</v>
      </c>
      <c r="V565" s="65">
        <v>1238.2830200640001</v>
      </c>
      <c r="W565" s="126">
        <v>2024</v>
      </c>
      <c r="X565" s="127" t="e">
        <f>+#REF!-'[1]Приложение №1'!$P977</f>
        <v>#REF!</v>
      </c>
      <c r="Z565" s="63">
        <f t="shared" si="347"/>
        <v>28889172.431907836</v>
      </c>
      <c r="AA565" s="64">
        <v>0</v>
      </c>
      <c r="AB565" s="64">
        <v>0</v>
      </c>
      <c r="AC565" s="64">
        <v>0</v>
      </c>
      <c r="AD565" s="64">
        <v>0</v>
      </c>
      <c r="AE565" s="64">
        <v>0</v>
      </c>
      <c r="AF565" s="64"/>
      <c r="AG565" s="64">
        <v>0</v>
      </c>
      <c r="AH565" s="64">
        <v>0</v>
      </c>
      <c r="AI565" s="64">
        <v>0</v>
      </c>
      <c r="AJ565" s="64">
        <v>0</v>
      </c>
      <c r="AK565" s="64">
        <v>28074124.097605009</v>
      </c>
      <c r="AL565" s="64">
        <v>0</v>
      </c>
      <c r="AM565" s="64">
        <v>177124.1</v>
      </c>
      <c r="AN565" s="64">
        <v>24000</v>
      </c>
      <c r="AO565" s="66">
        <v>613924.23430282774</v>
      </c>
      <c r="AP565" s="128">
        <f>+N565-'Приложение №2'!E574</f>
        <v>0</v>
      </c>
      <c r="AQ565" s="38">
        <v>3554317.72</v>
      </c>
      <c r="AR565" s="25">
        <f>+(K565*10.5+L565*21)*12*0.85</f>
        <v>877920.12</v>
      </c>
      <c r="AS565" s="25">
        <f>+(K565*10.5+L565*21)*12*30</f>
        <v>30985416.000000004</v>
      </c>
      <c r="AT565" s="127">
        <f t="shared" si="349"/>
        <v>0</v>
      </c>
      <c r="AU565" s="127">
        <f>+P565-'[6]Приложение №1'!$P522</f>
        <v>0</v>
      </c>
      <c r="AV565" s="127">
        <f>+Q565-'[6]Приложение №1'!$Q522</f>
        <v>0</v>
      </c>
      <c r="AW565" s="88">
        <f t="shared" si="352"/>
        <v>40235267.283999994</v>
      </c>
      <c r="AX565" s="64">
        <v>0</v>
      </c>
      <c r="AY565" s="64">
        <v>0</v>
      </c>
      <c r="AZ565" s="64">
        <v>0</v>
      </c>
      <c r="BA565" s="64">
        <v>0</v>
      </c>
      <c r="BB565" s="64">
        <v>0</v>
      </c>
      <c r="BC565" s="64"/>
      <c r="BD565" s="64"/>
      <c r="BE565" s="64">
        <v>0</v>
      </c>
      <c r="BF565" s="64">
        <v>0</v>
      </c>
      <c r="BG565" s="64">
        <v>0</v>
      </c>
      <c r="BH565" s="64">
        <v>39374232.564122394</v>
      </c>
      <c r="BI565" s="64">
        <v>0</v>
      </c>
      <c r="BJ565" s="64"/>
      <c r="BK565" s="64"/>
      <c r="BL565" s="66">
        <v>861034.71987759997</v>
      </c>
    </row>
    <row r="566" spans="1:64" x14ac:dyDescent="0.25">
      <c r="A566" s="141">
        <f t="shared" si="336"/>
        <v>547</v>
      </c>
      <c r="B566" s="142">
        <f t="shared" si="337"/>
        <v>89</v>
      </c>
      <c r="C566" s="62" t="s">
        <v>82</v>
      </c>
      <c r="D566" s="62" t="s">
        <v>667</v>
      </c>
      <c r="E566" s="123">
        <v>1991</v>
      </c>
      <c r="F566" s="123">
        <v>2010</v>
      </c>
      <c r="G566" s="123" t="s">
        <v>43</v>
      </c>
      <c r="H566" s="123">
        <v>5</v>
      </c>
      <c r="I566" s="123">
        <v>5</v>
      </c>
      <c r="J566" s="64">
        <v>4721.8999999999996</v>
      </c>
      <c r="K566" s="64">
        <v>4156.5</v>
      </c>
      <c r="L566" s="64">
        <v>0</v>
      </c>
      <c r="M566" s="124">
        <v>161</v>
      </c>
      <c r="N566" s="63">
        <f t="shared" si="339"/>
        <v>22869459.649612498</v>
      </c>
      <c r="O566" s="64"/>
      <c r="P566" s="65"/>
      <c r="Q566" s="65"/>
      <c r="R566" s="65">
        <f t="shared" si="343"/>
        <v>2919129.96</v>
      </c>
      <c r="S566" s="65">
        <f>+AS566</f>
        <v>15711570</v>
      </c>
      <c r="T566" s="65">
        <f>+'Приложение №2'!E575-'Приложение №1'!P566-'Приложение №1'!R566-'Приложение №1'!S566</f>
        <v>4238759.6896124966</v>
      </c>
      <c r="U566" s="65">
        <f t="shared" si="340"/>
        <v>5502.0954287531567</v>
      </c>
      <c r="V566" s="65">
        <v>1240.2830200640001</v>
      </c>
      <c r="W566" s="126">
        <v>2024</v>
      </c>
      <c r="X566" s="127" t="e">
        <f>+#REF!-'[1]Приложение №1'!$P1361</f>
        <v>#REF!</v>
      </c>
      <c r="Z566" s="63">
        <f t="shared" si="347"/>
        <v>13211921.58052516</v>
      </c>
      <c r="AA566" s="64">
        <v>8244815.9026870374</v>
      </c>
      <c r="AB566" s="64">
        <v>0</v>
      </c>
      <c r="AC566" s="64">
        <v>0</v>
      </c>
      <c r="AD566" s="64">
        <v>3327296.3145816172</v>
      </c>
      <c r="AE566" s="64">
        <v>0</v>
      </c>
      <c r="AF566" s="64"/>
      <c r="AG566" s="64">
        <v>0</v>
      </c>
      <c r="AH566" s="64">
        <v>0</v>
      </c>
      <c r="AI566" s="64">
        <v>0</v>
      </c>
      <c r="AJ566" s="64">
        <v>0</v>
      </c>
      <c r="AK566" s="64">
        <v>0</v>
      </c>
      <c r="AL566" s="64">
        <v>0</v>
      </c>
      <c r="AM566" s="64">
        <v>1254631.4907482606</v>
      </c>
      <c r="AN566" s="65">
        <v>132119.21580525159</v>
      </c>
      <c r="AO566" s="66">
        <v>253058.65670299329</v>
      </c>
      <c r="AP566" s="128">
        <f>+N566-'Приложение №2'!E575</f>
        <v>0</v>
      </c>
      <c r="AQ566" s="38">
        <v>2473968.81</v>
      </c>
      <c r="AR566" s="25">
        <f t="shared" ref="AR566:AR567" si="357">+(K566*10.5+L566*21)*12*0.85</f>
        <v>445161.14999999997</v>
      </c>
      <c r="AS566" s="25">
        <f>+(K566*10.5+L566*21)*12*30</f>
        <v>15711570</v>
      </c>
      <c r="AT566" s="127">
        <f t="shared" si="349"/>
        <v>0</v>
      </c>
      <c r="AU566" s="127">
        <f>+P566-'[6]Приложение №1'!$P524</f>
        <v>0</v>
      </c>
      <c r="AV566" s="127">
        <f>+Q566-'[6]Приложение №1'!$Q524</f>
        <v>0</v>
      </c>
      <c r="AW566" s="88">
        <f t="shared" si="352"/>
        <v>22869459.649612498</v>
      </c>
      <c r="AX566" s="64">
        <v>13891614.286531055</v>
      </c>
      <c r="AY566" s="64">
        <v>0</v>
      </c>
      <c r="AZ566" s="64">
        <v>4086844.0734241777</v>
      </c>
      <c r="BA566" s="64">
        <v>3952915.9264954804</v>
      </c>
      <c r="BB566" s="64">
        <v>0</v>
      </c>
      <c r="BC566" s="64"/>
      <c r="BD566" s="64">
        <v>448678.92666007631</v>
      </c>
      <c r="BE566" s="64">
        <v>0</v>
      </c>
      <c r="BF566" s="64">
        <v>0</v>
      </c>
      <c r="BG566" s="64">
        <v>0</v>
      </c>
      <c r="BH566" s="64">
        <v>0</v>
      </c>
      <c r="BI566" s="64">
        <v>0</v>
      </c>
      <c r="BJ566" s="64"/>
      <c r="BK566" s="65"/>
      <c r="BL566" s="66">
        <v>489406.43650170736</v>
      </c>
    </row>
    <row r="567" spans="1:64" x14ac:dyDescent="0.25">
      <c r="A567" s="141">
        <f t="shared" si="336"/>
        <v>548</v>
      </c>
      <c r="B567" s="142">
        <f t="shared" si="337"/>
        <v>90</v>
      </c>
      <c r="C567" s="62" t="s">
        <v>82</v>
      </c>
      <c r="D567" s="62" t="s">
        <v>1128</v>
      </c>
      <c r="E567" s="123">
        <v>1991</v>
      </c>
      <c r="F567" s="123">
        <v>1999</v>
      </c>
      <c r="G567" s="123" t="s">
        <v>43</v>
      </c>
      <c r="H567" s="123">
        <v>2</v>
      </c>
      <c r="I567" s="123">
        <v>8</v>
      </c>
      <c r="J567" s="64">
        <v>1042.9000000000001</v>
      </c>
      <c r="K567" s="64">
        <v>988.8</v>
      </c>
      <c r="L567" s="64">
        <v>54.1</v>
      </c>
      <c r="M567" s="124">
        <v>39</v>
      </c>
      <c r="N567" s="63">
        <f t="shared" si="339"/>
        <v>12522293.548031038</v>
      </c>
      <c r="O567" s="64"/>
      <c r="P567" s="65">
        <v>1714925.7675000001</v>
      </c>
      <c r="Q567" s="65"/>
      <c r="R567" s="65">
        <f t="shared" si="343"/>
        <v>704790.0199999999</v>
      </c>
      <c r="S567" s="65">
        <f>+AS567</f>
        <v>4146660</v>
      </c>
      <c r="T567" s="65">
        <f>+'Приложение №2'!E576-'Приложение №1'!P567-'Приложение №1'!R567-'Приложение №1'!S567</f>
        <v>5955917.760531038</v>
      </c>
      <c r="U567" s="65">
        <f t="shared" si="340"/>
        <v>12664.131824465047</v>
      </c>
      <c r="V567" s="65">
        <v>1242.2830200640001</v>
      </c>
      <c r="W567" s="126">
        <v>2024</v>
      </c>
      <c r="X567" s="127" t="e">
        <f>+#REF!-'[1]Приложение №1'!$P606</f>
        <v>#REF!</v>
      </c>
      <c r="Z567" s="63">
        <f t="shared" si="347"/>
        <v>11134371.560000001</v>
      </c>
      <c r="AA567" s="64">
        <v>0</v>
      </c>
      <c r="AB567" s="64">
        <v>0</v>
      </c>
      <c r="AC567" s="64">
        <v>0</v>
      </c>
      <c r="AD567" s="64">
        <v>0</v>
      </c>
      <c r="AE567" s="64">
        <v>0</v>
      </c>
      <c r="AF567" s="64"/>
      <c r="AG567" s="64">
        <v>0</v>
      </c>
      <c r="AH567" s="64">
        <v>0</v>
      </c>
      <c r="AI567" s="64">
        <v>0</v>
      </c>
      <c r="AJ567" s="64">
        <v>0</v>
      </c>
      <c r="AK567" s="64">
        <v>9697525.4476682395</v>
      </c>
      <c r="AL567" s="64">
        <v>0</v>
      </c>
      <c r="AM567" s="64">
        <v>1113437.1560000002</v>
      </c>
      <c r="AN567" s="65">
        <v>111343.71560000001</v>
      </c>
      <c r="AO567" s="66">
        <v>212065.24073176002</v>
      </c>
      <c r="AP567" s="128">
        <f>+N567-'Приложение №2'!E576</f>
        <v>0</v>
      </c>
      <c r="AQ567" s="38">
        <v>587301.31999999995</v>
      </c>
      <c r="AR567" s="25">
        <f t="shared" si="357"/>
        <v>117488.7</v>
      </c>
      <c r="AS567" s="25">
        <f>+(K567*10.5+L567*21)*12*30</f>
        <v>4146660</v>
      </c>
      <c r="AT567" s="127">
        <f t="shared" si="349"/>
        <v>0</v>
      </c>
      <c r="AU567" s="127">
        <f>+P567-'[6]Приложение №1'!$P525</f>
        <v>0</v>
      </c>
      <c r="AV567" s="127">
        <f>+Q567-'[6]Приложение №1'!$Q525</f>
        <v>0</v>
      </c>
      <c r="AW567" s="88">
        <f t="shared" si="352"/>
        <v>12522293.548031038</v>
      </c>
      <c r="AX567" s="64">
        <v>0</v>
      </c>
      <c r="AY567" s="64">
        <v>0</v>
      </c>
      <c r="AZ567" s="64">
        <v>0</v>
      </c>
      <c r="BA567" s="64">
        <v>0</v>
      </c>
      <c r="BB567" s="64">
        <v>0</v>
      </c>
      <c r="BC567" s="64"/>
      <c r="BD567" s="64"/>
      <c r="BE567" s="64">
        <v>0</v>
      </c>
      <c r="BF567" s="64">
        <v>0</v>
      </c>
      <c r="BG567" s="64">
        <v>0</v>
      </c>
      <c r="BH567" s="64">
        <v>12254316.466103174</v>
      </c>
      <c r="BI567" s="64">
        <v>0</v>
      </c>
      <c r="BJ567" s="64"/>
      <c r="BK567" s="65"/>
      <c r="BL567" s="66">
        <v>267977.08192786423</v>
      </c>
    </row>
    <row r="568" spans="1:64" x14ac:dyDescent="0.25">
      <c r="A568" s="141">
        <f t="shared" si="336"/>
        <v>549</v>
      </c>
      <c r="B568" s="142">
        <f t="shared" si="337"/>
        <v>91</v>
      </c>
      <c r="C568" s="62" t="s">
        <v>82</v>
      </c>
      <c r="D568" s="62" t="s">
        <v>642</v>
      </c>
      <c r="E568" s="123" t="s">
        <v>112</v>
      </c>
      <c r="F568" s="123"/>
      <c r="G568" s="123" t="s">
        <v>43</v>
      </c>
      <c r="H568" s="123" t="s">
        <v>108</v>
      </c>
      <c r="I568" s="123" t="s">
        <v>105</v>
      </c>
      <c r="J568" s="64">
        <v>6626.4</v>
      </c>
      <c r="K568" s="64">
        <v>4862.3999999999996</v>
      </c>
      <c r="L568" s="64">
        <v>725.8</v>
      </c>
      <c r="M568" s="124">
        <v>218</v>
      </c>
      <c r="N568" s="95">
        <f>+P568+Q568+R568+S568+T568</f>
        <v>12897116.892575137</v>
      </c>
      <c r="O568" s="64"/>
      <c r="P568" s="65"/>
      <c r="Q568" s="65"/>
      <c r="R568" s="65">
        <f>+AQ568+AR568</f>
        <v>4074235.28</v>
      </c>
      <c r="S568" s="65">
        <f>+'Приложение №2'!E577-'Приложение №1'!R568</f>
        <v>8822881.612575138</v>
      </c>
      <c r="T568" s="65"/>
      <c r="U568" s="65">
        <f t="shared" ref="U568:U570" si="358">N568/K568</f>
        <v>2652.4179196641862</v>
      </c>
      <c r="V568" s="65">
        <v>1243.2830200640001</v>
      </c>
      <c r="W568" s="126">
        <v>2024</v>
      </c>
      <c r="X568" s="127"/>
      <c r="Z568" s="130"/>
      <c r="AA568" s="127"/>
      <c r="AB568" s="127"/>
      <c r="AC568" s="127"/>
      <c r="AD568" s="127"/>
      <c r="AE568" s="127"/>
      <c r="AF568" s="127"/>
      <c r="AG568" s="127"/>
      <c r="AH568" s="127"/>
      <c r="AI568" s="127"/>
      <c r="AJ568" s="127"/>
      <c r="AK568" s="127"/>
      <c r="AL568" s="127"/>
      <c r="AM568" s="127"/>
      <c r="AN568" s="131"/>
      <c r="AO568" s="131"/>
      <c r="AP568" s="128">
        <f>+N568-'Приложение №2'!E577</f>
        <v>0</v>
      </c>
      <c r="AQ568" s="23">
        <v>3430207.28</v>
      </c>
      <c r="AR568" s="25">
        <f>+(K568*10+L568*20)*12*0.85</f>
        <v>644028</v>
      </c>
      <c r="AS568" s="25">
        <f>+(K568*10+L568*20)*12*30</f>
        <v>22730400</v>
      </c>
      <c r="AT568" s="127">
        <f>+S568-AS568</f>
        <v>-13907518.387424862</v>
      </c>
      <c r="AW568" s="63">
        <f>SUBTOTAL(9,AX568:BL568)</f>
        <v>12897116.892575137</v>
      </c>
      <c r="AX568" s="64"/>
      <c r="AY568" s="64"/>
      <c r="AZ568" s="64"/>
      <c r="BA568" s="64"/>
      <c r="BB568" s="64"/>
      <c r="BC568" s="64"/>
      <c r="BD568" s="64"/>
      <c r="BE568" s="64"/>
      <c r="BF568" s="64"/>
      <c r="BG568" s="64">
        <v>11232795.546055887</v>
      </c>
      <c r="BH568" s="64"/>
      <c r="BI568" s="64"/>
      <c r="BJ568" s="64">
        <v>1289711.6892575137</v>
      </c>
      <c r="BK568" s="65">
        <v>128971.16892575138</v>
      </c>
      <c r="BL568" s="66">
        <v>245638.4883359861</v>
      </c>
    </row>
    <row r="569" spans="1:64" x14ac:dyDescent="0.25">
      <c r="A569" s="141">
        <f t="shared" si="336"/>
        <v>550</v>
      </c>
      <c r="B569" s="142">
        <f t="shared" si="337"/>
        <v>92</v>
      </c>
      <c r="C569" s="62" t="s">
        <v>82</v>
      </c>
      <c r="D569" s="62" t="s">
        <v>1129</v>
      </c>
      <c r="E569" s="123" t="s">
        <v>112</v>
      </c>
      <c r="F569" s="123"/>
      <c r="G569" s="123" t="s">
        <v>43</v>
      </c>
      <c r="H569" s="123" t="s">
        <v>108</v>
      </c>
      <c r="I569" s="123" t="s">
        <v>105</v>
      </c>
      <c r="J569" s="64">
        <v>6832.2</v>
      </c>
      <c r="K569" s="64">
        <v>5772.1</v>
      </c>
      <c r="L569" s="64">
        <v>17</v>
      </c>
      <c r="M569" s="124">
        <v>245</v>
      </c>
      <c r="N569" s="95">
        <f>+P569+Q569+R569+S569+T569</f>
        <v>13360777.96120517</v>
      </c>
      <c r="O569" s="64"/>
      <c r="P569" s="65"/>
      <c r="Q569" s="65"/>
      <c r="R569" s="65">
        <f>+AQ569+AR569</f>
        <v>3768302.3099999996</v>
      </c>
      <c r="S569" s="65">
        <f>+'Приложение №2'!E578-'Приложение №1'!R569</f>
        <v>9592475.6512051709</v>
      </c>
      <c r="T569" s="65"/>
      <c r="U569" s="65">
        <f t="shared" si="358"/>
        <v>2314.7169940238682</v>
      </c>
      <c r="V569" s="65">
        <v>1244.2830200640001</v>
      </c>
      <c r="W569" s="126">
        <v>2024</v>
      </c>
      <c r="X569" s="127"/>
      <c r="Z569" s="130"/>
      <c r="AA569" s="127"/>
      <c r="AB569" s="127"/>
      <c r="AC569" s="127"/>
      <c r="AD569" s="127"/>
      <c r="AE569" s="127"/>
      <c r="AF569" s="127"/>
      <c r="AG569" s="127"/>
      <c r="AH569" s="127"/>
      <c r="AI569" s="127"/>
      <c r="AJ569" s="127"/>
      <c r="AK569" s="127"/>
      <c r="AL569" s="127"/>
      <c r="AM569" s="127"/>
      <c r="AN569" s="131"/>
      <c r="AO569" s="131"/>
      <c r="AP569" s="128">
        <f>+N569-'Приложение №2'!E578</f>
        <v>0</v>
      </c>
      <c r="AQ569" s="23">
        <v>3176080.11</v>
      </c>
      <c r="AR569" s="25">
        <f>+(K569*10+L569*20)*12*0.85</f>
        <v>592222.19999999995</v>
      </c>
      <c r="AS569" s="25">
        <f>+(K569*10+L569*20)*12*30</f>
        <v>20901960</v>
      </c>
      <c r="AT569" s="127">
        <f>+S569-AS569</f>
        <v>-11309484.348794829</v>
      </c>
      <c r="AW569" s="63">
        <f>SUBTOTAL(9,AX569:BL569)</f>
        <v>13360777.961205171</v>
      </c>
      <c r="AX569" s="64"/>
      <c r="AY569" s="64"/>
      <c r="AZ569" s="64"/>
      <c r="BA569" s="64"/>
      <c r="BB569" s="64"/>
      <c r="BC569" s="64"/>
      <c r="BD569" s="64"/>
      <c r="BE569" s="64"/>
      <c r="BF569" s="64"/>
      <c r="BG569" s="64">
        <v>11636623.008423489</v>
      </c>
      <c r="BH569" s="64"/>
      <c r="BI569" s="64"/>
      <c r="BJ569" s="64">
        <v>1336077.7961205172</v>
      </c>
      <c r="BK569" s="65">
        <v>133607.77961205173</v>
      </c>
      <c r="BL569" s="66">
        <v>254469.37704911374</v>
      </c>
    </row>
    <row r="570" spans="1:64" x14ac:dyDescent="0.25">
      <c r="A570" s="141">
        <f t="shared" si="336"/>
        <v>551</v>
      </c>
      <c r="B570" s="142">
        <f t="shared" si="337"/>
        <v>93</v>
      </c>
      <c r="C570" s="62" t="s">
        <v>82</v>
      </c>
      <c r="D570" s="62" t="s">
        <v>635</v>
      </c>
      <c r="E570" s="123">
        <v>1992</v>
      </c>
      <c r="F570" s="123">
        <v>2009</v>
      </c>
      <c r="G570" s="123" t="s">
        <v>43</v>
      </c>
      <c r="H570" s="123">
        <v>9</v>
      </c>
      <c r="I570" s="123">
        <v>1</v>
      </c>
      <c r="J570" s="64">
        <v>3320.9</v>
      </c>
      <c r="K570" s="64">
        <v>2870.8</v>
      </c>
      <c r="L570" s="64">
        <v>0</v>
      </c>
      <c r="M570" s="124">
        <v>115</v>
      </c>
      <c r="N570" s="63">
        <f t="shared" si="339"/>
        <v>16126771.316431094</v>
      </c>
      <c r="O570" s="64"/>
      <c r="P570" s="65">
        <v>3559708.8377358671</v>
      </c>
      <c r="Q570" s="65"/>
      <c r="R570" s="65">
        <f>+AR570</f>
        <v>408486.13200000004</v>
      </c>
      <c r="S570" s="65">
        <f>+'Приложение №2'!E579-'Приложение №1'!P570-'Приложение №1'!R570</f>
        <v>12158576.346695226</v>
      </c>
      <c r="T570" s="65"/>
      <c r="U570" s="65">
        <f t="shared" si="358"/>
        <v>5617.5182236418741</v>
      </c>
      <c r="V570" s="65">
        <v>1245.2830200640001</v>
      </c>
      <c r="W570" s="126">
        <v>2024</v>
      </c>
      <c r="X570" s="127" t="e">
        <f>+#REF!-'[1]Приложение №1'!$P372</f>
        <v>#REF!</v>
      </c>
      <c r="Z570" s="63">
        <f t="shared" si="347"/>
        <v>14776696.027288169</v>
      </c>
      <c r="AA570" s="64">
        <v>6885723.9998886082</v>
      </c>
      <c r="AB570" s="64">
        <v>2754946.3207044839</v>
      </c>
      <c r="AC570" s="64">
        <v>2034797.5532993053</v>
      </c>
      <c r="AD570" s="64">
        <v>1300328.9200963341</v>
      </c>
      <c r="AE570" s="64">
        <v>0</v>
      </c>
      <c r="AF570" s="64"/>
      <c r="AG570" s="64">
        <v>0</v>
      </c>
      <c r="AH570" s="64">
        <v>0</v>
      </c>
      <c r="AI570" s="64">
        <v>0</v>
      </c>
      <c r="AJ570" s="64">
        <v>0</v>
      </c>
      <c r="AK570" s="64">
        <v>0</v>
      </c>
      <c r="AL570" s="64">
        <v>0</v>
      </c>
      <c r="AM570" s="64">
        <v>1369377.8775724771</v>
      </c>
      <c r="AN570" s="65">
        <v>147766.96027288167</v>
      </c>
      <c r="AO570" s="66">
        <v>283754.39545407612</v>
      </c>
      <c r="AP570" s="128">
        <f>+N570-'Приложение №2'!E579</f>
        <v>0</v>
      </c>
      <c r="AQ570" s="127">
        <f>2273243.45-R53</f>
        <v>385057.82233943464</v>
      </c>
      <c r="AR570" s="25">
        <f t="shared" ref="AR570:AR576" si="359">+(K570*13.95+L570*23.65)*12*0.85</f>
        <v>408486.13200000004</v>
      </c>
      <c r="AS570" s="25">
        <f>+(K570*13.95+L570*23.65)*12*30-S53</f>
        <v>14417157.600000001</v>
      </c>
      <c r="AT570" s="127">
        <f t="shared" si="349"/>
        <v>-2258581.2533047758</v>
      </c>
      <c r="AU570" s="127">
        <f>+P570-'[6]Приложение №1'!$P527</f>
        <v>305625.0189924445</v>
      </c>
      <c r="AV570" s="127">
        <f>+Q570-'[6]Приложение №1'!$Q527</f>
        <v>0</v>
      </c>
      <c r="AW570" s="88">
        <f t="shared" si="352"/>
        <v>16126771.316431092</v>
      </c>
      <c r="AX570" s="64">
        <v>8180916.3093257621</v>
      </c>
      <c r="AY570" s="64">
        <v>3273146.7724719895</v>
      </c>
      <c r="AZ570" s="64">
        <v>2417539.3161607608</v>
      </c>
      <c r="BA570" s="64">
        <v>1544918.4530306687</v>
      </c>
      <c r="BB570" s="64">
        <v>0</v>
      </c>
      <c r="BC570" s="64"/>
      <c r="BD570" s="64">
        <v>365137.5592702846</v>
      </c>
      <c r="BE570" s="64">
        <v>0</v>
      </c>
      <c r="BF570" s="64">
        <v>0</v>
      </c>
      <c r="BG570" s="64">
        <v>0</v>
      </c>
      <c r="BH570" s="64">
        <v>0</v>
      </c>
      <c r="BI570" s="64">
        <v>0</v>
      </c>
      <c r="BJ570" s="64"/>
      <c r="BK570" s="65"/>
      <c r="BL570" s="66">
        <v>345112.90617162542</v>
      </c>
    </row>
    <row r="571" spans="1:64" x14ac:dyDescent="0.25">
      <c r="A571" s="141">
        <f t="shared" si="336"/>
        <v>552</v>
      </c>
      <c r="B571" s="142">
        <f t="shared" si="337"/>
        <v>94</v>
      </c>
      <c r="C571" s="62" t="s">
        <v>140</v>
      </c>
      <c r="D571" s="62" t="s">
        <v>668</v>
      </c>
      <c r="E571" s="123">
        <v>1993</v>
      </c>
      <c r="F571" s="123" t="s">
        <v>80</v>
      </c>
      <c r="G571" s="123" t="s">
        <v>43</v>
      </c>
      <c r="H571" s="123">
        <v>9</v>
      </c>
      <c r="I571" s="123">
        <v>3</v>
      </c>
      <c r="J571" s="64">
        <v>10078.200000000001</v>
      </c>
      <c r="K571" s="64">
        <v>8569.9</v>
      </c>
      <c r="L571" s="64">
        <v>245.1</v>
      </c>
      <c r="M571" s="124">
        <v>295</v>
      </c>
      <c r="N571" s="63">
        <f>SUM(O571:S571)</f>
        <v>9780000</v>
      </c>
      <c r="O571" s="64"/>
      <c r="P571" s="65">
        <v>3538238.8867999995</v>
      </c>
      <c r="Q571" s="65">
        <v>0</v>
      </c>
      <c r="R571" s="65">
        <f t="shared" si="343"/>
        <v>1280989.544</v>
      </c>
      <c r="S571" s="65">
        <f>+'Приложение №2'!E580-'Приложение №1'!P571-'Приложение №1'!R571</f>
        <v>4960771.5692000007</v>
      </c>
      <c r="U571" s="65">
        <f t="shared" si="340"/>
        <v>1141.2035146267751</v>
      </c>
      <c r="V571" s="65">
        <v>1245.2830200640001</v>
      </c>
      <c r="W571" s="126">
        <v>2024</v>
      </c>
      <c r="X571" s="127" t="e">
        <f>+#REF!-'[1]Приложение №1'!$P217</f>
        <v>#REF!</v>
      </c>
      <c r="Z571" s="63">
        <f t="shared" si="347"/>
        <v>9780000</v>
      </c>
      <c r="AA571" s="64"/>
      <c r="AB571" s="64"/>
      <c r="AC571" s="64"/>
      <c r="AD571" s="64"/>
      <c r="AE571" s="64"/>
      <c r="AF571" s="64"/>
      <c r="AG571" s="64"/>
      <c r="AH571" s="64">
        <v>9062814.5999999996</v>
      </c>
      <c r="AL571" s="64"/>
      <c r="AM571" s="64">
        <v>489000</v>
      </c>
      <c r="AN571" s="64">
        <v>30000</v>
      </c>
      <c r="AO571" s="64">
        <v>198185.4</v>
      </c>
      <c r="AP571" s="128">
        <f>+N571-'Приложение №2'!E580</f>
        <v>0</v>
      </c>
      <c r="AQ571" s="38">
        <v>2453</v>
      </c>
      <c r="AR571" s="25">
        <f t="shared" si="359"/>
        <v>1278536.544</v>
      </c>
      <c r="AS571" s="25">
        <f>+(K571*13.95+L571*23.65)*12*30</f>
        <v>45124819.200000003</v>
      </c>
      <c r="AT571" s="127">
        <f t="shared" si="349"/>
        <v>-40164047.630800001</v>
      </c>
      <c r="AU571" s="127">
        <f>+P571-'[6]Приложение №1'!$P528</f>
        <v>0</v>
      </c>
      <c r="AV571" s="127">
        <f>+Q571-'[6]Приложение №1'!$Q528</f>
        <v>0</v>
      </c>
      <c r="AW571" s="88">
        <f t="shared" si="352"/>
        <v>9780000</v>
      </c>
      <c r="AX571" s="64"/>
      <c r="AY571" s="64"/>
      <c r="AZ571" s="64"/>
      <c r="BA571" s="64"/>
      <c r="BB571" s="64"/>
      <c r="BC571" s="64"/>
      <c r="BD571" s="64"/>
      <c r="BE571" s="64">
        <v>9062814.5999999996</v>
      </c>
      <c r="BF571" s="64"/>
      <c r="BG571" s="64"/>
      <c r="BH571" s="64"/>
      <c r="BI571" s="64"/>
      <c r="BJ571" s="64">
        <v>489000</v>
      </c>
      <c r="BK571" s="65">
        <v>30000</v>
      </c>
      <c r="BL571" s="66">
        <v>198185.4</v>
      </c>
    </row>
    <row r="572" spans="1:64" x14ac:dyDescent="0.25">
      <c r="A572" s="141">
        <f t="shared" si="336"/>
        <v>553</v>
      </c>
      <c r="B572" s="142">
        <f t="shared" si="337"/>
        <v>95</v>
      </c>
      <c r="C572" s="62" t="s">
        <v>82</v>
      </c>
      <c r="D572" s="62" t="s">
        <v>1130</v>
      </c>
      <c r="E572" s="123">
        <v>1989</v>
      </c>
      <c r="F572" s="123">
        <v>2009</v>
      </c>
      <c r="G572" s="123" t="s">
        <v>43</v>
      </c>
      <c r="H572" s="123">
        <v>9</v>
      </c>
      <c r="I572" s="123">
        <v>1</v>
      </c>
      <c r="J572" s="64">
        <v>3239.5</v>
      </c>
      <c r="K572" s="64">
        <v>2720.9</v>
      </c>
      <c r="L572" s="64">
        <v>63.8</v>
      </c>
      <c r="M572" s="124">
        <v>112</v>
      </c>
      <c r="N572" s="63">
        <f>SUM(O572:T572)</f>
        <v>12697410.808104584</v>
      </c>
      <c r="O572" s="64"/>
      <c r="P572" s="65"/>
      <c r="Q572" s="65"/>
      <c r="R572" s="65">
        <f>+AQ572+AR572</f>
        <v>2380602.0550000002</v>
      </c>
      <c r="S572" s="65">
        <f>+'Приложение №2'!E581-'Приложение №1'!R572</f>
        <v>10316808.753104584</v>
      </c>
      <c r="T572" s="65">
        <v>4.6566128730773926E-10</v>
      </c>
      <c r="U572" s="65">
        <f t="shared" si="340"/>
        <v>4666.6216355266943</v>
      </c>
      <c r="V572" s="65">
        <v>1246.2830200640001</v>
      </c>
      <c r="W572" s="126">
        <v>2024</v>
      </c>
      <c r="X572" s="127" t="e">
        <f>+#REF!-'[1]Приложение №1'!$P1364</f>
        <v>#REF!</v>
      </c>
      <c r="Z572" s="63">
        <f t="shared" si="347"/>
        <v>10076605.062258013</v>
      </c>
      <c r="AA572" s="64">
        <v>6679650.6897583138</v>
      </c>
      <c r="AB572" s="64">
        <v>0</v>
      </c>
      <c r="AC572" s="64">
        <v>1973900.9116011779</v>
      </c>
      <c r="AD572" s="64">
        <v>0</v>
      </c>
      <c r="AE572" s="64">
        <v>0</v>
      </c>
      <c r="AF572" s="64"/>
      <c r="AG572" s="64">
        <v>296767.5571071952</v>
      </c>
      <c r="AH572" s="64">
        <v>0</v>
      </c>
      <c r="AI572" s="64">
        <v>0</v>
      </c>
      <c r="AJ572" s="64">
        <v>0</v>
      </c>
      <c r="AK572" s="64">
        <v>0</v>
      </c>
      <c r="AL572" s="64">
        <v>0</v>
      </c>
      <c r="AM572" s="64">
        <v>829794.50063330017</v>
      </c>
      <c r="AN572" s="65">
        <v>100766.05062258012</v>
      </c>
      <c r="AO572" s="66">
        <v>195725.35253544565</v>
      </c>
      <c r="AP572" s="128">
        <f>+N572-'Приложение №2'!E581</f>
        <v>0</v>
      </c>
      <c r="AQ572" s="38">
        <v>1978054.72</v>
      </c>
      <c r="AR572" s="25">
        <f t="shared" si="359"/>
        <v>402547.33500000002</v>
      </c>
      <c r="AS572" s="25">
        <f>+(K572*13.95+L572*23.65)*12*30</f>
        <v>14207553.000000002</v>
      </c>
      <c r="AT572" s="127">
        <f t="shared" si="349"/>
        <v>-3890744.2468954176</v>
      </c>
      <c r="AU572" s="127">
        <f>+P572-'[6]Приложение №1'!$P529</f>
        <v>0</v>
      </c>
      <c r="AV572" s="127">
        <f>+Q572-'[6]Приложение №1'!$Q529</f>
        <v>0</v>
      </c>
      <c r="AW572" s="88">
        <f t="shared" si="352"/>
        <v>12697410.808104584</v>
      </c>
      <c r="AX572" s="64">
        <v>7935557.2128255023</v>
      </c>
      <c r="AY572" s="64">
        <v>0</v>
      </c>
      <c r="AZ572" s="64">
        <v>2345033.3473989377</v>
      </c>
      <c r="BA572" s="64">
        <v>1498583.8150182886</v>
      </c>
      <c r="BB572" s="64">
        <v>0</v>
      </c>
      <c r="BC572" s="64"/>
      <c r="BD572" s="64">
        <v>354186.48505641689</v>
      </c>
      <c r="BE572" s="64">
        <v>0</v>
      </c>
      <c r="BF572" s="64">
        <v>0</v>
      </c>
      <c r="BG572" s="64">
        <v>0</v>
      </c>
      <c r="BH572" s="64">
        <v>0</v>
      </c>
      <c r="BI572" s="64">
        <v>0</v>
      </c>
      <c r="BJ572" s="64">
        <v>298717.92</v>
      </c>
      <c r="BK572" s="65"/>
      <c r="BL572" s="66">
        <v>265332.02780543809</v>
      </c>
    </row>
    <row r="573" spans="1:64" s="74" customFormat="1" x14ac:dyDescent="0.25">
      <c r="A573" s="141">
        <f t="shared" si="336"/>
        <v>554</v>
      </c>
      <c r="B573" s="142">
        <f t="shared" si="337"/>
        <v>96</v>
      </c>
      <c r="C573" s="62" t="s">
        <v>82</v>
      </c>
      <c r="D573" s="62" t="s">
        <v>644</v>
      </c>
      <c r="E573" s="123" t="s">
        <v>104</v>
      </c>
      <c r="F573" s="123"/>
      <c r="G573" s="123" t="s">
        <v>43</v>
      </c>
      <c r="H573" s="123" t="s">
        <v>97</v>
      </c>
      <c r="I573" s="123" t="s">
        <v>102</v>
      </c>
      <c r="J573" s="64">
        <v>3182.4</v>
      </c>
      <c r="K573" s="64">
        <v>2718.2</v>
      </c>
      <c r="L573" s="64">
        <v>0</v>
      </c>
      <c r="M573" s="124">
        <v>99</v>
      </c>
      <c r="N573" s="95">
        <f>+P573+Q573+R573+S573+T573</f>
        <v>13240318.747869601</v>
      </c>
      <c r="O573" s="64">
        <v>0</v>
      </c>
      <c r="P573" s="65"/>
      <c r="Q573" s="65">
        <v>0</v>
      </c>
      <c r="R573" s="65">
        <f>+AQ573+AR573</f>
        <v>2054828.4956</v>
      </c>
      <c r="S573" s="65">
        <f>+'Приложение №2'!E582-'Приложение №1'!R573</f>
        <v>11185490.252269601</v>
      </c>
      <c r="T573" s="65">
        <v>2.3283064365386963E-10</v>
      </c>
      <c r="U573" s="64">
        <f>$N573/($K573+$L573)</f>
        <v>4870.9876932784937</v>
      </c>
      <c r="V573" s="64">
        <f>$N573/($K573+$L573)</f>
        <v>4870.9876932784937</v>
      </c>
      <c r="W573" s="126">
        <v>2024</v>
      </c>
      <c r="X573" s="74">
        <v>1300878.49</v>
      </c>
      <c r="Y573" s="74">
        <f>+(K573*12.08+L573*20.47)*12</f>
        <v>394030.272</v>
      </c>
      <c r="AA573" s="129">
        <f>+N573-'[5]Приложение № 2'!E232</f>
        <v>12851473.697869601</v>
      </c>
      <c r="AD573" s="129">
        <f>+N573-'[5]Приложение № 2'!E232</f>
        <v>12851473.697869601</v>
      </c>
      <c r="AP573" s="128">
        <f>+N573-'Приложение №2'!E582</f>
        <v>0</v>
      </c>
      <c r="AQ573" s="74">
        <v>1686354.74</v>
      </c>
      <c r="AR573" s="25">
        <f>+(K573*13.29+L573*22.52)*12*0.85</f>
        <v>368473.75559999997</v>
      </c>
      <c r="AS573" s="25">
        <f>+(K573*13.29+L573*22.52)*12*30</f>
        <v>13004956.079999998</v>
      </c>
      <c r="AT573" s="127">
        <f>+S573-AS573</f>
        <v>-1819465.8277303968</v>
      </c>
      <c r="AU573" s="127">
        <f>+P573-'[6]Приложение №1'!$P246</f>
        <v>0</v>
      </c>
      <c r="AV573" s="127">
        <f>+Q573-'[6]Приложение №1'!$Q246</f>
        <v>0</v>
      </c>
      <c r="AW573" s="63">
        <f>SUBTOTAL(9,AX573:BL573)</f>
        <v>13240318.747869601</v>
      </c>
      <c r="AX573" s="64">
        <v>8101220.3263461273</v>
      </c>
      <c r="AY573" s="64">
        <v>0</v>
      </c>
      <c r="AZ573" s="64">
        <v>2455002.5149674504</v>
      </c>
      <c r="BA573" s="64">
        <v>1423274.5415996145</v>
      </c>
      <c r="BB573" s="64"/>
      <c r="BC573" s="64"/>
      <c r="BD573" s="64">
        <v>295198.03432807833</v>
      </c>
      <c r="BE573" s="64"/>
      <c r="BF573" s="64"/>
      <c r="BG573" s="64"/>
      <c r="BH573" s="64"/>
      <c r="BI573" s="64"/>
      <c r="BJ573" s="64">
        <v>696095.60690659576</v>
      </c>
      <c r="BK573" s="65"/>
      <c r="BL573" s="66">
        <v>269527.72372173303</v>
      </c>
    </row>
    <row r="574" spans="1:64" x14ac:dyDescent="0.25">
      <c r="A574" s="141">
        <f t="shared" si="336"/>
        <v>555</v>
      </c>
      <c r="B574" s="142">
        <f t="shared" si="337"/>
        <v>97</v>
      </c>
      <c r="C574" s="62" t="s">
        <v>83</v>
      </c>
      <c r="D574" s="62" t="s">
        <v>669</v>
      </c>
      <c r="E574" s="123">
        <v>1993</v>
      </c>
      <c r="F574" s="123">
        <v>2007</v>
      </c>
      <c r="G574" s="123" t="s">
        <v>43</v>
      </c>
      <c r="H574" s="123">
        <v>9</v>
      </c>
      <c r="I574" s="123">
        <v>1</v>
      </c>
      <c r="J574" s="64">
        <v>2855.54</v>
      </c>
      <c r="K574" s="64">
        <v>2487.9</v>
      </c>
      <c r="L574" s="64">
        <v>367.64</v>
      </c>
      <c r="M574" s="124">
        <v>94</v>
      </c>
      <c r="N574" s="63">
        <f>SUM(O574:S574)</f>
        <v>3591360</v>
      </c>
      <c r="O574" s="64"/>
      <c r="P574" s="65">
        <v>2200544.6488000001</v>
      </c>
      <c r="Q574" s="65"/>
      <c r="R574" s="65">
        <v>1390815.3511999999</v>
      </c>
      <c r="U574" s="65">
        <f t="shared" si="340"/>
        <v>1443.5306885324972</v>
      </c>
      <c r="V574" s="65">
        <v>1247.2830200640001</v>
      </c>
      <c r="W574" s="126">
        <v>2024</v>
      </c>
      <c r="X574" s="127" t="e">
        <f>+#REF!-'[1]Приложение №1'!$P219</f>
        <v>#REF!</v>
      </c>
      <c r="Z574" s="63">
        <f t="shared" si="347"/>
        <v>14648835.946255356</v>
      </c>
      <c r="AA574" s="64">
        <v>5957914.8640461573</v>
      </c>
      <c r="AB574" s="64">
        <v>2383734.1772688017</v>
      </c>
      <c r="AC574" s="64">
        <v>1760621.0455607576</v>
      </c>
      <c r="AD574" s="64">
        <v>1125117.5622659819</v>
      </c>
      <c r="AE574" s="64">
        <v>0</v>
      </c>
      <c r="AF574" s="64"/>
      <c r="AG574" s="64">
        <v>264701.84172454086</v>
      </c>
      <c r="AH574" s="64">
        <v>0</v>
      </c>
      <c r="AI574" s="64">
        <v>2607417.5209347345</v>
      </c>
      <c r="AJ574" s="64">
        <v>0</v>
      </c>
      <c r="AK574" s="64">
        <v>0</v>
      </c>
      <c r="AL574" s="64">
        <v>0</v>
      </c>
      <c r="AM574" s="64">
        <v>80780.05</v>
      </c>
      <c r="AN574" s="65">
        <v>160221.22243461735</v>
      </c>
      <c r="AO574" s="66">
        <v>308327.66201976384</v>
      </c>
      <c r="AP574" s="128">
        <f>+N574-'Приложение №2'!E583</f>
        <v>0</v>
      </c>
      <c r="AR574" s="25">
        <f t="shared" si="359"/>
        <v>442689.0882</v>
      </c>
      <c r="AS574" s="25">
        <f>+(K574*13.95+L574*23.65)*12*30</f>
        <v>15624320.760000002</v>
      </c>
      <c r="AT574" s="127">
        <f t="shared" si="349"/>
        <v>-15624320.760000002</v>
      </c>
      <c r="AU574" s="127">
        <f>+P574-'[6]Приложение №1'!$P530</f>
        <v>0</v>
      </c>
      <c r="AV574" s="127">
        <f>+Q574-'[6]Приложение №1'!$Q530</f>
        <v>0</v>
      </c>
      <c r="AW574" s="88">
        <f t="shared" si="352"/>
        <v>3591360</v>
      </c>
      <c r="AX574" s="64"/>
      <c r="AY574" s="64"/>
      <c r="AZ574" s="64"/>
      <c r="BA574" s="64"/>
      <c r="BB574" s="64"/>
      <c r="BC574" s="64"/>
      <c r="BD574" s="64"/>
      <c r="BE574" s="64">
        <v>3388344.6460698778</v>
      </c>
      <c r="BF574" s="64"/>
      <c r="BG574" s="64"/>
      <c r="BH574" s="64"/>
      <c r="BI574" s="64"/>
      <c r="BJ574" s="103">
        <v>104919.11907839999</v>
      </c>
      <c r="BK574" s="65">
        <v>24000</v>
      </c>
      <c r="BL574" s="66">
        <v>74096.234851722242</v>
      </c>
    </row>
    <row r="575" spans="1:64" x14ac:dyDescent="0.25">
      <c r="A575" s="141">
        <f t="shared" si="336"/>
        <v>556</v>
      </c>
      <c r="B575" s="142">
        <f t="shared" si="337"/>
        <v>98</v>
      </c>
      <c r="C575" s="62" t="s">
        <v>82</v>
      </c>
      <c r="D575" s="62" t="s">
        <v>645</v>
      </c>
      <c r="E575" s="123">
        <v>1990</v>
      </c>
      <c r="F575" s="123">
        <v>2017</v>
      </c>
      <c r="G575" s="123" t="s">
        <v>43</v>
      </c>
      <c r="H575" s="123">
        <v>9</v>
      </c>
      <c r="I575" s="123">
        <v>1</v>
      </c>
      <c r="J575" s="64">
        <v>3220.3</v>
      </c>
      <c r="K575" s="64">
        <v>2758.2</v>
      </c>
      <c r="L575" s="64">
        <v>90</v>
      </c>
      <c r="M575" s="124">
        <v>102</v>
      </c>
      <c r="N575" s="95">
        <f>+P575+Q575+R575+S575+T575</f>
        <v>14431106.140762853</v>
      </c>
      <c r="O575" s="64"/>
      <c r="P575" s="65"/>
      <c r="Q575" s="65"/>
      <c r="R575" s="65">
        <f>+AQ575+AR575-659229.88</f>
        <v>1373583.9356</v>
      </c>
      <c r="S575" s="65">
        <f>+AS575</f>
        <v>11927276.210000001</v>
      </c>
      <c r="T575" s="65">
        <f>+'Приложение №2'!E584-'Приложение №1'!P575-'Приложение №1'!R575-'Приложение №1'!S575</f>
        <v>1130245.9951628521</v>
      </c>
      <c r="U575" s="64">
        <f>$N575/($K575+$L575)</f>
        <v>5066.7460644487228</v>
      </c>
      <c r="V575" s="64">
        <f>$N575/($K575+$L575)</f>
        <v>5066.7460644487228</v>
      </c>
      <c r="W575" s="126">
        <v>2024</v>
      </c>
      <c r="X575" s="127" t="e">
        <f>+#REF!-'[1]Приложение №1'!$P983</f>
        <v>#REF!</v>
      </c>
      <c r="Z575" s="63">
        <f>SUM(AA575:AO575)</f>
        <v>10585519.119685274</v>
      </c>
      <c r="AA575" s="64">
        <v>6602013.7682673624</v>
      </c>
      <c r="AB575" s="64"/>
      <c r="AC575" s="64">
        <v>1950958.4558916504</v>
      </c>
      <c r="AD575" s="64"/>
      <c r="AE575" s="64">
        <v>0</v>
      </c>
      <c r="AF575" s="64"/>
      <c r="AG575" s="64">
        <v>293318.25704611279</v>
      </c>
      <c r="AH575" s="64">
        <v>0</v>
      </c>
      <c r="AI575" s="64">
        <v>0</v>
      </c>
      <c r="AJ575" s="64">
        <v>0</v>
      </c>
      <c r="AK575" s="64">
        <v>0</v>
      </c>
      <c r="AL575" s="64">
        <v>0</v>
      </c>
      <c r="AM575" s="64">
        <v>1316014.3444465706</v>
      </c>
      <c r="AN575" s="65">
        <v>144737.06182413004</v>
      </c>
      <c r="AO575" s="66">
        <v>278477.23220944533</v>
      </c>
      <c r="AP575" s="128">
        <f>+N575-'Приложение №2'!E584</f>
        <v>0</v>
      </c>
      <c r="AQ575" s="23">
        <v>1638244.38</v>
      </c>
      <c r="AR575" s="25">
        <f>+(K575*13.29+L575*22.52)*12*0.85</f>
        <v>394569.43560000003</v>
      </c>
      <c r="AS575" s="25">
        <f>+(K575*13.29+L575*22.52)*12*30-'[11]КПКР 2021 оплата по источникам'!$BG$1185-'[11]КПКР 2021 оплата по источникам'!$BG$1187</f>
        <v>11927276.210000001</v>
      </c>
      <c r="AT575" s="127">
        <f>+S575-AS575</f>
        <v>0</v>
      </c>
      <c r="AU575" s="127">
        <f>+P575-'[6]Приложение №1'!$P247</f>
        <v>0</v>
      </c>
      <c r="AV575" s="127">
        <f>+Q575-'[6]Приложение №1'!$Q247</f>
        <v>0</v>
      </c>
      <c r="AW575" s="63">
        <f>SUBTOTAL(9,AX575:BL575)</f>
        <v>14431106.140762853</v>
      </c>
      <c r="AX575" s="64">
        <v>8116513.1086183758</v>
      </c>
      <c r="AY575" s="64">
        <v>0</v>
      </c>
      <c r="AZ575" s="64">
        <v>0</v>
      </c>
      <c r="BA575" s="64">
        <v>0</v>
      </c>
      <c r="BB575" s="64">
        <v>0</v>
      </c>
      <c r="BC575" s="64"/>
      <c r="BD575" s="64">
        <v>362263.06127686513</v>
      </c>
      <c r="BE575" s="64">
        <v>0</v>
      </c>
      <c r="BF575" s="64">
        <v>0</v>
      </c>
      <c r="BG575" s="64">
        <v>5643504.2994552879</v>
      </c>
      <c r="BH575" s="64">
        <v>0</v>
      </c>
      <c r="BI575" s="64">
        <v>0</v>
      </c>
      <c r="BJ575" s="64"/>
      <c r="BK575" s="65"/>
      <c r="BL575" s="66">
        <v>308825.67141232511</v>
      </c>
    </row>
    <row r="576" spans="1:64" s="74" customFormat="1" x14ac:dyDescent="0.25">
      <c r="A576" s="141">
        <f t="shared" si="336"/>
        <v>557</v>
      </c>
      <c r="B576" s="142">
        <f t="shared" si="337"/>
        <v>99</v>
      </c>
      <c r="C576" s="62" t="s">
        <v>83</v>
      </c>
      <c r="D576" s="62" t="s">
        <v>670</v>
      </c>
      <c r="E576" s="123" t="s">
        <v>122</v>
      </c>
      <c r="F576" s="123"/>
      <c r="G576" s="123" t="s">
        <v>43</v>
      </c>
      <c r="H576" s="123" t="s">
        <v>97</v>
      </c>
      <c r="I576" s="123" t="s">
        <v>98</v>
      </c>
      <c r="J576" s="64">
        <v>7245.1</v>
      </c>
      <c r="K576" s="64">
        <v>6191.5</v>
      </c>
      <c r="L576" s="64">
        <v>105</v>
      </c>
      <c r="M576" s="124">
        <v>262</v>
      </c>
      <c r="N576" s="63">
        <f>SUM(O576:S576)</f>
        <v>7182720</v>
      </c>
      <c r="O576" s="64">
        <v>0</v>
      </c>
      <c r="P576" s="65">
        <v>4650735.0838000001</v>
      </c>
      <c r="Q576" s="65">
        <v>0</v>
      </c>
      <c r="R576" s="65">
        <v>2531984.9161999999</v>
      </c>
      <c r="U576" s="65">
        <f t="shared" si="340"/>
        <v>1160.0936768149884</v>
      </c>
      <c r="V576" s="65">
        <v>1248.2830200640001</v>
      </c>
      <c r="W576" s="126">
        <v>2024</v>
      </c>
      <c r="Y576" s="74">
        <f>+(K576*12.08+L576*20.47)*12</f>
        <v>923312.04000000015</v>
      </c>
      <c r="AA576" s="129">
        <f>+N576-'[5]Приложение № 2'!E496</f>
        <v>1277439.5331905074</v>
      </c>
      <c r="AD576" s="129">
        <f>+N576-'[5]Приложение № 2'!E496</f>
        <v>1277439.5331905074</v>
      </c>
      <c r="AP576" s="128">
        <f>+N576-'Приложение №2'!E585</f>
        <v>0</v>
      </c>
      <c r="AR576" s="25">
        <f t="shared" si="359"/>
        <v>906317.68499999982</v>
      </c>
      <c r="AS576" s="25">
        <f>+(K576*13.95+L576*23.65)*12*30</f>
        <v>31987682.999999996</v>
      </c>
      <c r="AT576" s="127">
        <f t="shared" si="349"/>
        <v>-31987682.999999996</v>
      </c>
      <c r="AU576" s="127">
        <f>+P576-'[6]Приложение №1'!$P531</f>
        <v>0</v>
      </c>
      <c r="AV576" s="127">
        <f>+Q576-'[6]Приложение №1'!$Q531</f>
        <v>0</v>
      </c>
      <c r="AW576" s="88">
        <f t="shared" si="352"/>
        <v>7182720</v>
      </c>
      <c r="AX576" s="64"/>
      <c r="AY576" s="64"/>
      <c r="AZ576" s="64"/>
      <c r="BA576" s="64"/>
      <c r="BB576" s="64"/>
      <c r="BC576" s="64"/>
      <c r="BD576" s="64"/>
      <c r="BE576" s="64">
        <v>6868490.3575085625</v>
      </c>
      <c r="BF576" s="64"/>
      <c r="BG576" s="64"/>
      <c r="BH576" s="64"/>
      <c r="BI576" s="64"/>
      <c r="BJ576" s="103">
        <v>140029.66941696001</v>
      </c>
      <c r="BK576" s="65">
        <v>24000</v>
      </c>
      <c r="BL576" s="66">
        <v>150199.97307447705</v>
      </c>
    </row>
    <row r="577" spans="1:64" x14ac:dyDescent="0.25">
      <c r="A577" s="141">
        <f t="shared" si="336"/>
        <v>558</v>
      </c>
      <c r="B577" s="142">
        <f t="shared" si="337"/>
        <v>100</v>
      </c>
      <c r="C577" s="62" t="s">
        <v>52</v>
      </c>
      <c r="D577" s="62" t="s">
        <v>735</v>
      </c>
      <c r="E577" s="123">
        <v>1985</v>
      </c>
      <c r="F577" s="123">
        <v>2016</v>
      </c>
      <c r="G577" s="123" t="s">
        <v>43</v>
      </c>
      <c r="H577" s="123">
        <v>5</v>
      </c>
      <c r="I577" s="123">
        <v>4</v>
      </c>
      <c r="J577" s="64">
        <v>3419.8</v>
      </c>
      <c r="K577" s="64">
        <v>2847.6</v>
      </c>
      <c r="L577" s="64">
        <v>0</v>
      </c>
      <c r="M577" s="124">
        <v>127</v>
      </c>
      <c r="N577" s="63">
        <f t="shared" ref="N577:N595" si="360">SUM(O577:T577)</f>
        <v>3923178.2059999998</v>
      </c>
      <c r="O577" s="64"/>
      <c r="P577" s="65"/>
      <c r="Q577" s="65"/>
      <c r="R577" s="65">
        <f t="shared" ref="R577:R578" si="361">+AQ577+AR577</f>
        <v>1959442.23</v>
      </c>
      <c r="S577" s="65">
        <f>+'Приложение №2'!E586-'Приложение №1'!R577</f>
        <v>1963735.9759999998</v>
      </c>
      <c r="T577" s="65">
        <v>0</v>
      </c>
      <c r="U577" s="65">
        <f t="shared" si="340"/>
        <v>1377.7139366484057</v>
      </c>
      <c r="V577" s="65">
        <v>1249.2830200640001</v>
      </c>
      <c r="W577" s="126">
        <v>2024</v>
      </c>
      <c r="X577" s="127" t="e">
        <f>+#REF!-'[1]Приложение №1'!$P375</f>
        <v>#REF!</v>
      </c>
      <c r="Z577" s="63">
        <f t="shared" ref="Z577" si="362">SUM(AA577:AO577)</f>
        <v>3028949.7</v>
      </c>
      <c r="AA577" s="64">
        <v>0</v>
      </c>
      <c r="AB577" s="64">
        <v>0</v>
      </c>
      <c r="AC577" s="64">
        <v>2925994.6940138005</v>
      </c>
      <c r="AD577" s="64">
        <v>0</v>
      </c>
      <c r="AE577" s="64">
        <v>0</v>
      </c>
      <c r="AF577" s="64"/>
      <c r="AG577" s="64">
        <v>0</v>
      </c>
      <c r="AH577" s="64">
        <v>0</v>
      </c>
      <c r="AI577" s="64">
        <v>0</v>
      </c>
      <c r="AJ577" s="64">
        <v>0</v>
      </c>
      <c r="AK577" s="64">
        <v>0</v>
      </c>
      <c r="AL577" s="64">
        <v>0</v>
      </c>
      <c r="AM577" s="103">
        <v>41985.58</v>
      </c>
      <c r="AN577" s="64">
        <v>3280.05</v>
      </c>
      <c r="AO577" s="66">
        <v>57689.375986200001</v>
      </c>
      <c r="AP577" s="128">
        <f>+N577-'Приложение №2'!E586</f>
        <v>0</v>
      </c>
      <c r="AQ577" s="38">
        <v>1654464.27</v>
      </c>
      <c r="AR577" s="25">
        <f t="shared" ref="AR577" si="363">+(K577*10.5+L577*21)*12*0.85</f>
        <v>304977.95999999996</v>
      </c>
      <c r="AS577" s="25">
        <f>+(K577*10.5+L577*21)*12*30</f>
        <v>10763928</v>
      </c>
      <c r="AT577" s="127">
        <f t="shared" si="349"/>
        <v>-8800192.0240000002</v>
      </c>
      <c r="AU577" s="127">
        <f>+P577-'[6]Приложение №1'!$P532</f>
        <v>0</v>
      </c>
      <c r="AV577" s="127">
        <f>+Q577-'[6]Приложение №1'!$Q532</f>
        <v>0</v>
      </c>
      <c r="AW577" s="88">
        <f t="shared" si="352"/>
        <v>3923178.2059999998</v>
      </c>
      <c r="AX577" s="64">
        <v>0</v>
      </c>
      <c r="AY577" s="64">
        <v>0</v>
      </c>
      <c r="AZ577" s="64">
        <v>3847595.2246995438</v>
      </c>
      <c r="BA577" s="64">
        <v>0</v>
      </c>
      <c r="BB577" s="64">
        <v>0</v>
      </c>
      <c r="BC577" s="64"/>
      <c r="BD577" s="64"/>
      <c r="BE577" s="64">
        <v>0</v>
      </c>
      <c r="BF577" s="64">
        <v>0</v>
      </c>
      <c r="BG577" s="64">
        <v>0</v>
      </c>
      <c r="BH577" s="64">
        <v>0</v>
      </c>
      <c r="BI577" s="64">
        <v>0</v>
      </c>
      <c r="BJ577" s="103"/>
      <c r="BK577" s="64"/>
      <c r="BL577" s="66">
        <v>75582.981300455998</v>
      </c>
    </row>
    <row r="578" spans="1:64" s="74" customFormat="1" x14ac:dyDescent="0.25">
      <c r="A578" s="141">
        <f t="shared" si="336"/>
        <v>559</v>
      </c>
      <c r="B578" s="142">
        <f t="shared" si="337"/>
        <v>101</v>
      </c>
      <c r="C578" s="62" t="s">
        <v>94</v>
      </c>
      <c r="D578" s="62" t="s">
        <v>740</v>
      </c>
      <c r="E578" s="123" t="s">
        <v>129</v>
      </c>
      <c r="F578" s="123"/>
      <c r="G578" s="123" t="s">
        <v>43</v>
      </c>
      <c r="H578" s="123" t="s">
        <v>97</v>
      </c>
      <c r="I578" s="123" t="s">
        <v>130</v>
      </c>
      <c r="J578" s="64">
        <v>20643.599999999999</v>
      </c>
      <c r="K578" s="64">
        <v>17405.5</v>
      </c>
      <c r="L578" s="64">
        <v>146.19999999999999</v>
      </c>
      <c r="M578" s="124">
        <v>665</v>
      </c>
      <c r="N578" s="63">
        <f t="shared" si="360"/>
        <v>29897350</v>
      </c>
      <c r="O578" s="64">
        <v>0</v>
      </c>
      <c r="P578" s="65"/>
      <c r="Q578" s="65">
        <v>0</v>
      </c>
      <c r="R578" s="65">
        <f t="shared" si="361"/>
        <v>15885425.780999999</v>
      </c>
      <c r="S578" s="65">
        <f>+'Приложение №2'!E587-'Приложение №1'!R578</f>
        <v>14011924.219000001</v>
      </c>
      <c r="T578" s="65">
        <v>0</v>
      </c>
      <c r="U578" s="65">
        <f t="shared" si="340"/>
        <v>1717.695556002413</v>
      </c>
      <c r="V578" s="65">
        <v>1256.2830200640001</v>
      </c>
      <c r="W578" s="126">
        <v>2024</v>
      </c>
      <c r="X578" s="74">
        <v>8381860.3899999997</v>
      </c>
      <c r="Y578" s="74">
        <f>+(K578*12.08+L578*20.47)*12</f>
        <v>2559013.8480000002</v>
      </c>
      <c r="AA578" s="129">
        <f>+N578-'[5]Приложение № 2'!E504</f>
        <v>22742331.98</v>
      </c>
      <c r="AD578" s="129">
        <f>+N578-'[5]Приложение № 2'!E504</f>
        <v>22742331.98</v>
      </c>
      <c r="AP578" s="128">
        <f>+N578-'Приложение №2'!E587</f>
        <v>0</v>
      </c>
      <c r="AQ578" s="74">
        <v>13373529.359999999</v>
      </c>
      <c r="AR578" s="25">
        <f t="shared" ref="AR578" si="364">+(K578*13.95+L578*23.65)*12*0.85</f>
        <v>2511896.4209999996</v>
      </c>
      <c r="AS578" s="25">
        <f>+(K578*13.95+L578*23.65)*12*30</f>
        <v>88655167.799999997</v>
      </c>
      <c r="AT578" s="127">
        <f t="shared" si="349"/>
        <v>-74643243.581</v>
      </c>
      <c r="AU578" s="127">
        <f>+P578-'[6]Приложение №1'!$P539</f>
        <v>0</v>
      </c>
      <c r="AV578" s="127">
        <f>+Q578-'[6]Приложение №1'!$Q539</f>
        <v>0</v>
      </c>
      <c r="AW578" s="88">
        <f t="shared" si="352"/>
        <v>29897350</v>
      </c>
      <c r="AX578" s="64"/>
      <c r="AY578" s="64"/>
      <c r="AZ578" s="64"/>
      <c r="BA578" s="64"/>
      <c r="BB578" s="64"/>
      <c r="BC578" s="64"/>
      <c r="BD578" s="64"/>
      <c r="BE578" s="64">
        <v>28087244.841600001</v>
      </c>
      <c r="BF578" s="64"/>
      <c r="BG578" s="64"/>
      <c r="BH578" s="64"/>
      <c r="BI578" s="64"/>
      <c r="BJ578" s="64">
        <v>896920.5</v>
      </c>
      <c r="BK578" s="65">
        <v>298973.5</v>
      </c>
      <c r="BL578" s="66">
        <v>614211.15840000007</v>
      </c>
    </row>
    <row r="579" spans="1:64" x14ac:dyDescent="0.25">
      <c r="A579" s="141">
        <f t="shared" si="336"/>
        <v>560</v>
      </c>
      <c r="B579" s="142">
        <f t="shared" si="337"/>
        <v>102</v>
      </c>
      <c r="C579" s="62" t="s">
        <v>52</v>
      </c>
      <c r="D579" s="62" t="s">
        <v>742</v>
      </c>
      <c r="E579" s="123">
        <v>1964</v>
      </c>
      <c r="F579" s="123">
        <v>2013</v>
      </c>
      <c r="G579" s="123" t="s">
        <v>43</v>
      </c>
      <c r="H579" s="123">
        <v>5</v>
      </c>
      <c r="I579" s="123">
        <v>7</v>
      </c>
      <c r="J579" s="64">
        <v>6384.4</v>
      </c>
      <c r="K579" s="64">
        <v>5253.8</v>
      </c>
      <c r="L579" s="64">
        <v>1130.5999999999999</v>
      </c>
      <c r="M579" s="124">
        <v>210</v>
      </c>
      <c r="N579" s="63">
        <f t="shared" si="360"/>
        <v>14904523.749627801</v>
      </c>
      <c r="O579" s="64"/>
      <c r="P579" s="65">
        <v>127594.26226869</v>
      </c>
      <c r="Q579" s="65"/>
      <c r="R579" s="65">
        <f>+AR579</f>
        <v>804856.5</v>
      </c>
      <c r="S579" s="65">
        <f>+AS579</f>
        <v>8003969.2031212486</v>
      </c>
      <c r="T579" s="65">
        <f>+'Приложение №2'!E588-'Приложение №1'!P579-'Приложение №1'!R579-'Приложение №1'!S579</f>
        <v>5968103.7842378616</v>
      </c>
      <c r="U579" s="65">
        <f t="shared" si="340"/>
        <v>2836.9035269001106</v>
      </c>
      <c r="V579" s="65">
        <v>1258.2830200640001</v>
      </c>
      <c r="W579" s="126">
        <v>2024</v>
      </c>
      <c r="X579" s="127" t="e">
        <f>+#REF!-'[1]Приложение №1'!$P1405</f>
        <v>#REF!</v>
      </c>
      <c r="Z579" s="63">
        <f t="shared" ref="Z579:Z585" si="365">SUM(AA579:AO579)</f>
        <v>31039639.368981633</v>
      </c>
      <c r="AA579" s="64">
        <v>13616559.511674002</v>
      </c>
      <c r="AB579" s="64">
        <v>4892953.0885143364</v>
      </c>
      <c r="AC579" s="64">
        <v>5159278.8563651238</v>
      </c>
      <c r="AD579" s="64">
        <v>3303637.3136041779</v>
      </c>
      <c r="AE579" s="64">
        <v>2454070.4593860004</v>
      </c>
      <c r="AF579" s="64"/>
      <c r="AG579" s="64">
        <v>488558.85729000001</v>
      </c>
      <c r="AH579" s="64">
        <v>0</v>
      </c>
      <c r="AI579" s="64">
        <v>0</v>
      </c>
      <c r="AJ579" s="64">
        <v>0</v>
      </c>
      <c r="AK579" s="64">
        <v>0</v>
      </c>
      <c r="AL579" s="64">
        <v>0</v>
      </c>
      <c r="AM579" s="64">
        <v>425297.73</v>
      </c>
      <c r="AN579" s="64">
        <v>45101.82</v>
      </c>
      <c r="AO579" s="66">
        <v>654181.73214800004</v>
      </c>
      <c r="AP579" s="128">
        <f>+N579-'Приложение №2'!E588</f>
        <v>0</v>
      </c>
      <c r="AQ579" s="38">
        <f>4163182.7-R265</f>
        <v>-804856.5</v>
      </c>
      <c r="AR579" s="25">
        <f t="shared" ref="AR579" si="366">+(K579*10.5+L579*21)*12*0.85</f>
        <v>804856.5</v>
      </c>
      <c r="AS579" s="25">
        <f>+(K579*10.5+L579*21)*12*30-S265</f>
        <v>8003969.2031212486</v>
      </c>
      <c r="AT579" s="127">
        <f t="shared" si="349"/>
        <v>0</v>
      </c>
      <c r="AU579" s="127">
        <f>+P579-'[6]Приложение №1'!$P541</f>
        <v>0</v>
      </c>
      <c r="AV579" s="127">
        <f>+Q579-'[6]Приложение №1'!$Q541</f>
        <v>0</v>
      </c>
      <c r="AW579" s="88">
        <f t="shared" si="352"/>
        <v>14904523.749627801</v>
      </c>
      <c r="AX579" s="64">
        <v>13616559.511674002</v>
      </c>
      <c r="AY579" s="64"/>
      <c r="AZ579" s="64"/>
      <c r="BA579" s="64"/>
      <c r="BB579" s="64"/>
      <c r="BC579" s="64"/>
      <c r="BD579" s="64">
        <v>488558.85729000001</v>
      </c>
      <c r="BE579" s="64">
        <v>0</v>
      </c>
      <c r="BF579" s="64"/>
      <c r="BG579" s="64">
        <v>0</v>
      </c>
      <c r="BH579" s="64">
        <v>0</v>
      </c>
      <c r="BI579" s="64">
        <v>0</v>
      </c>
      <c r="BJ579" s="64">
        <v>596430.70650000009</v>
      </c>
      <c r="BK579" s="64">
        <v>24992.426500000001</v>
      </c>
      <c r="BL579" s="66">
        <v>177982.24766380002</v>
      </c>
    </row>
    <row r="580" spans="1:64" s="74" customFormat="1" x14ac:dyDescent="0.25">
      <c r="A580" s="141">
        <f t="shared" si="336"/>
        <v>561</v>
      </c>
      <c r="B580" s="142">
        <f t="shared" si="337"/>
        <v>103</v>
      </c>
      <c r="C580" s="62" t="s">
        <v>52</v>
      </c>
      <c r="D580" s="62" t="s">
        <v>709</v>
      </c>
      <c r="E580" s="123">
        <v>1959</v>
      </c>
      <c r="F580" s="123"/>
      <c r="G580" s="123" t="s">
        <v>43</v>
      </c>
      <c r="H580" s="123">
        <v>4</v>
      </c>
      <c r="I580" s="123">
        <v>3</v>
      </c>
      <c r="J580" s="64">
        <v>2378.1999999999998</v>
      </c>
      <c r="K580" s="64">
        <v>1790.7</v>
      </c>
      <c r="L580" s="64">
        <v>587.5</v>
      </c>
      <c r="M580" s="124">
        <v>74</v>
      </c>
      <c r="N580" s="63">
        <f t="shared" ref="N580:N582" si="367">+P580+Q580+R580+S580+T580</f>
        <v>1171216.6200000001</v>
      </c>
      <c r="O580" s="64"/>
      <c r="P580" s="65"/>
      <c r="Q580" s="65"/>
      <c r="R580" s="65">
        <f t="shared" ref="R580:R581" si="368">+AQ580+AR580</f>
        <v>332025.09060000005</v>
      </c>
      <c r="S580" s="65">
        <f>+'Приложение №2'!E589-'Приложение №1'!R580</f>
        <v>839191.52940000012</v>
      </c>
      <c r="T580" s="65">
        <f>+'Приложение №2'!E589-'Приложение №1'!P580-'Приложение №1'!R580-'Приложение №1'!S580</f>
        <v>0</v>
      </c>
      <c r="U580" s="65">
        <f>N580/K580</f>
        <v>654.0551851231362</v>
      </c>
      <c r="V580" s="65">
        <v>1173.2830200640001</v>
      </c>
      <c r="W580" s="126">
        <v>2024</v>
      </c>
      <c r="AA580" s="129"/>
      <c r="AD580" s="129"/>
      <c r="AP580" s="128">
        <f>+N580-'Приложение №2'!E589</f>
        <v>0</v>
      </c>
      <c r="AQ580" s="67">
        <f>863803.68-R267</f>
        <v>-45669.719999999972</v>
      </c>
      <c r="AR580" s="25">
        <f>+(K580*13.29+L580*22.52)*12*0.85</f>
        <v>377694.81060000003</v>
      </c>
      <c r="AS580" s="25">
        <f>+(K580*10+L580*20)*12*30-S267</f>
        <v>8077030.2799999993</v>
      </c>
      <c r="AT580" s="127">
        <f>+S580-AS580</f>
        <v>-7237838.750599999</v>
      </c>
      <c r="AW580" s="63">
        <f t="shared" si="352"/>
        <v>1171216.6200000001</v>
      </c>
      <c r="AX580" s="63"/>
      <c r="AY580" s="63">
        <v>1171216.6200000001</v>
      </c>
      <c r="AZ580" s="63"/>
      <c r="BA580" s="63"/>
      <c r="BB580" s="63"/>
      <c r="BC580" s="63"/>
      <c r="BD580" s="63"/>
      <c r="BE580" s="63"/>
      <c r="BF580" s="63"/>
      <c r="BG580" s="63"/>
      <c r="BH580" s="63"/>
      <c r="BI580" s="63"/>
      <c r="BJ580" s="63"/>
      <c r="BK580" s="63"/>
      <c r="BL580" s="90"/>
    </row>
    <row r="581" spans="1:64" x14ac:dyDescent="0.25">
      <c r="A581" s="141">
        <f t="shared" si="336"/>
        <v>562</v>
      </c>
      <c r="B581" s="142">
        <f t="shared" si="337"/>
        <v>104</v>
      </c>
      <c r="C581" s="62" t="s">
        <v>52</v>
      </c>
      <c r="D581" s="62" t="s">
        <v>688</v>
      </c>
      <c r="E581" s="123">
        <v>1965</v>
      </c>
      <c r="F581" s="123">
        <v>2005</v>
      </c>
      <c r="G581" s="123" t="s">
        <v>43</v>
      </c>
      <c r="H581" s="123">
        <v>4</v>
      </c>
      <c r="I581" s="123">
        <v>2</v>
      </c>
      <c r="J581" s="64">
        <v>1948.5</v>
      </c>
      <c r="K581" s="64">
        <v>1410</v>
      </c>
      <c r="L581" s="64">
        <v>537.70000000000005</v>
      </c>
      <c r="M581" s="124">
        <v>38</v>
      </c>
      <c r="N581" s="95">
        <f t="shared" si="367"/>
        <v>5223518.5269052126</v>
      </c>
      <c r="O581" s="64"/>
      <c r="P581" s="65"/>
      <c r="Q581" s="65"/>
      <c r="R581" s="65">
        <f t="shared" si="368"/>
        <v>784502.32414875994</v>
      </c>
      <c r="S581" s="65">
        <f>+'Приложение №2'!E590-'Приложение №1'!R581</f>
        <v>4439016.2027564524</v>
      </c>
      <c r="T581" s="65">
        <f>+'Приложение №2'!E590-'Приложение №1'!P581-'Приложение №1'!R581-'Приложение №1'!S581</f>
        <v>0</v>
      </c>
      <c r="U581" s="64">
        <f t="shared" ref="U581:V582" si="369">$N581/($K581+$L581)</f>
        <v>2681.8907053987846</v>
      </c>
      <c r="V581" s="64">
        <f t="shared" si="369"/>
        <v>2681.8907053987846</v>
      </c>
      <c r="W581" s="126">
        <v>2024</v>
      </c>
      <c r="X581" s="127" t="e">
        <f>+#REF!-'[1]Приложение №1'!$P1905</f>
        <v>#REF!</v>
      </c>
      <c r="Z581" s="63">
        <f t="shared" ref="Z581:Z582" si="370">SUM(AA581:AO581)</f>
        <v>10380935.740000002</v>
      </c>
      <c r="AA581" s="64">
        <v>4172919.5503249806</v>
      </c>
      <c r="AB581" s="64">
        <v>1486982.7864103799</v>
      </c>
      <c r="AC581" s="64">
        <v>1553566.1571465</v>
      </c>
      <c r="AD581" s="64">
        <v>972630.6372728399</v>
      </c>
      <c r="AE581" s="64">
        <v>595090.92894678004</v>
      </c>
      <c r="AF581" s="64"/>
      <c r="AG581" s="64">
        <v>160126.34455524001</v>
      </c>
      <c r="AH581" s="64">
        <v>0</v>
      </c>
      <c r="AI581" s="64">
        <v>0</v>
      </c>
      <c r="AJ581" s="64">
        <v>0</v>
      </c>
      <c r="AK581" s="64">
        <v>0</v>
      </c>
      <c r="AL581" s="64">
        <v>0</v>
      </c>
      <c r="AM581" s="64">
        <v>1140281.4974</v>
      </c>
      <c r="AN581" s="65">
        <v>103809.35740000001</v>
      </c>
      <c r="AO581" s="66">
        <v>195528.48054327999</v>
      </c>
      <c r="AP581" s="128">
        <f>+N581-'Приложение №2'!E590</f>
        <v>0</v>
      </c>
      <c r="AQ581" s="127">
        <f>945052.78-R269</f>
        <v>530991.5241487599</v>
      </c>
      <c r="AR581" s="25">
        <f t="shared" ref="AR581" si="371">+(K581*10+L581*20)*12*0.85</f>
        <v>253510.8</v>
      </c>
      <c r="AS581" s="25">
        <f>+(K581*10+L581*20)*12*30-S269</f>
        <v>6080555.6686754264</v>
      </c>
      <c r="AT581" s="127">
        <f t="shared" ref="AT581:AT582" si="372">+S581-AS581</f>
        <v>-1641539.465918974</v>
      </c>
      <c r="AU581" s="127">
        <f>+P581-'[6]Приложение №1'!$P644</f>
        <v>-1321634.5791319686</v>
      </c>
      <c r="AV581" s="127">
        <f>+Q581-'[6]Приложение №1'!$Q644</f>
        <v>0</v>
      </c>
      <c r="AW581" s="63">
        <f t="shared" si="352"/>
        <v>5223518.5269052126</v>
      </c>
      <c r="AX581" s="64"/>
      <c r="AY581" s="64">
        <v>2457065.2679873998</v>
      </c>
      <c r="AZ581" s="64"/>
      <c r="BA581" s="64">
        <v>2053849.9317419997</v>
      </c>
      <c r="BB581" s="64">
        <v>631577.05000000005</v>
      </c>
      <c r="BC581" s="64"/>
      <c r="BD581" s="64"/>
      <c r="BE581" s="64"/>
      <c r="BF581" s="64"/>
      <c r="BG581" s="64">
        <v>0</v>
      </c>
      <c r="BH581" s="64">
        <v>0</v>
      </c>
      <c r="BI581" s="64">
        <v>0</v>
      </c>
      <c r="BJ581" s="64"/>
      <c r="BK581" s="65"/>
      <c r="BL581" s="66">
        <v>81026.277175813244</v>
      </c>
    </row>
    <row r="582" spans="1:64" x14ac:dyDescent="0.25">
      <c r="A582" s="141">
        <f t="shared" si="336"/>
        <v>563</v>
      </c>
      <c r="B582" s="142">
        <f t="shared" si="337"/>
        <v>105</v>
      </c>
      <c r="C582" s="62" t="s">
        <v>52</v>
      </c>
      <c r="D582" s="62" t="s">
        <v>1014</v>
      </c>
      <c r="E582" s="123">
        <v>1989</v>
      </c>
      <c r="F582" s="123">
        <v>2017</v>
      </c>
      <c r="G582" s="123" t="s">
        <v>43</v>
      </c>
      <c r="H582" s="123">
        <v>9</v>
      </c>
      <c r="I582" s="123">
        <v>3</v>
      </c>
      <c r="J582" s="64">
        <v>7106.9</v>
      </c>
      <c r="K582" s="64">
        <v>6247.4</v>
      </c>
      <c r="L582" s="64">
        <v>0</v>
      </c>
      <c r="M582" s="124">
        <v>249</v>
      </c>
      <c r="N582" s="95">
        <f t="shared" si="367"/>
        <v>5106151.2342166202</v>
      </c>
      <c r="O582" s="64"/>
      <c r="P582" s="65"/>
      <c r="Q582" s="65"/>
      <c r="R582" s="65">
        <f>+AR582</f>
        <v>846885.04919999989</v>
      </c>
      <c r="S582" s="65">
        <f>+AS582</f>
        <v>0</v>
      </c>
      <c r="T582" s="65">
        <f>+'Приложение №2'!E591-'Приложение №1'!P582-'Приложение №1'!Q582-'Приложение №1'!R582-'Приложение №1'!S582</f>
        <v>4259266.18501662</v>
      </c>
      <c r="U582" s="64">
        <f t="shared" si="369"/>
        <v>817.32420434366622</v>
      </c>
      <c r="V582" s="64">
        <f t="shared" si="369"/>
        <v>817.32420434366622</v>
      </c>
      <c r="W582" s="126">
        <v>2024</v>
      </c>
      <c r="X582" s="127" t="e">
        <f>+#REF!-'[1]Приложение №1'!$P914</f>
        <v>#REF!</v>
      </c>
      <c r="Z582" s="63">
        <f t="shared" si="370"/>
        <v>25881031.239999995</v>
      </c>
      <c r="AA582" s="64"/>
      <c r="AB582" s="64"/>
      <c r="AC582" s="64"/>
      <c r="AD582" s="64"/>
      <c r="AE582" s="64">
        <v>0</v>
      </c>
      <c r="AF582" s="64"/>
      <c r="AG582" s="64"/>
      <c r="AH582" s="64">
        <v>0</v>
      </c>
      <c r="AI582" s="64"/>
      <c r="AJ582" s="64">
        <v>0</v>
      </c>
      <c r="AK582" s="64">
        <v>25881031.239999995</v>
      </c>
      <c r="AL582" s="64">
        <v>0</v>
      </c>
      <c r="AM582" s="64"/>
      <c r="AN582" s="65"/>
      <c r="AO582" s="66"/>
      <c r="AP582" s="128">
        <f>+N582-'Приложение №2'!E591</f>
        <v>0</v>
      </c>
      <c r="AQ582" s="127">
        <f>2787898.61-R273</f>
        <v>-778953.74919999996</v>
      </c>
      <c r="AR582" s="25">
        <f>+(K582*13.29+L582*22.52)*12*0.85</f>
        <v>846885.04919999989</v>
      </c>
      <c r="AS582" s="25">
        <f>+(K582*13.29+L582*22.52)*12*30-131853.4-S273</f>
        <v>0</v>
      </c>
      <c r="AT582" s="127">
        <f t="shared" si="372"/>
        <v>0</v>
      </c>
      <c r="AU582" s="127">
        <f>+P582-'[6]Приложение №1'!$P643</f>
        <v>-666884.95870000031</v>
      </c>
      <c r="AV582" s="127">
        <f>+Q582-'[6]Приложение №1'!$Q643</f>
        <v>0</v>
      </c>
      <c r="AW582" s="63">
        <f t="shared" si="352"/>
        <v>5106151.2342166202</v>
      </c>
      <c r="AX582" s="64"/>
      <c r="AY582" s="64"/>
      <c r="AZ582" s="64"/>
      <c r="BA582" s="64"/>
      <c r="BB582" s="64">
        <v>0</v>
      </c>
      <c r="BC582" s="64"/>
      <c r="BD582" s="64"/>
      <c r="BE582" s="64">
        <v>0</v>
      </c>
      <c r="BF582" s="64">
        <v>4215079.9000000004</v>
      </c>
      <c r="BG582" s="64">
        <v>0</v>
      </c>
      <c r="BH582" s="64"/>
      <c r="BI582" s="64">
        <v>0</v>
      </c>
      <c r="BJ582" s="64"/>
      <c r="BK582" s="65"/>
      <c r="BL582" s="66">
        <v>891071.33421662007</v>
      </c>
    </row>
    <row r="583" spans="1:64" x14ac:dyDescent="0.25">
      <c r="A583" s="141">
        <f t="shared" si="336"/>
        <v>564</v>
      </c>
      <c r="B583" s="142">
        <f t="shared" si="337"/>
        <v>106</v>
      </c>
      <c r="C583" s="62" t="s">
        <v>52</v>
      </c>
      <c r="D583" s="62" t="s">
        <v>744</v>
      </c>
      <c r="E583" s="123">
        <v>1973</v>
      </c>
      <c r="F583" s="123">
        <v>2017</v>
      </c>
      <c r="G583" s="123" t="s">
        <v>43</v>
      </c>
      <c r="H583" s="123">
        <v>5</v>
      </c>
      <c r="I583" s="123">
        <v>2</v>
      </c>
      <c r="J583" s="64">
        <v>2354.6</v>
      </c>
      <c r="K583" s="64">
        <v>2141.8000000000002</v>
      </c>
      <c r="L583" s="64">
        <v>0</v>
      </c>
      <c r="M583" s="124">
        <v>96</v>
      </c>
      <c r="N583" s="63">
        <f t="shared" si="360"/>
        <v>5182411.8588525206</v>
      </c>
      <c r="O583" s="64"/>
      <c r="P583" s="65"/>
      <c r="Q583" s="65"/>
      <c r="R583" s="65">
        <v>1112787.02</v>
      </c>
      <c r="S583" s="65">
        <v>3779722.71</v>
      </c>
      <c r="T583" s="65">
        <f>+'Приложение №2'!E592-'Приложение №1'!P583-'Приложение №1'!Q583-'Приложение №1'!R583-'Приложение №1'!S583</f>
        <v>289902.12885251967</v>
      </c>
      <c r="U583" s="65">
        <f t="shared" si="340"/>
        <v>2419.6525627287888</v>
      </c>
      <c r="V583" s="65">
        <v>1263.2830200640001</v>
      </c>
      <c r="W583" s="126">
        <v>2024</v>
      </c>
      <c r="X583" s="127" t="e">
        <f>+#REF!-'[1]Приложение №1'!$P397</f>
        <v>#REF!</v>
      </c>
      <c r="Z583" s="63">
        <f t="shared" si="365"/>
        <v>5617414.6200000001</v>
      </c>
      <c r="AA583" s="64">
        <v>0</v>
      </c>
      <c r="AB583" s="64">
        <v>0</v>
      </c>
      <c r="AC583" s="64">
        <v>0</v>
      </c>
      <c r="AD583" s="64">
        <v>0</v>
      </c>
      <c r="AE583" s="64">
        <v>0</v>
      </c>
      <c r="AF583" s="64"/>
      <c r="AG583" s="64">
        <v>0</v>
      </c>
      <c r="AH583" s="64">
        <v>0</v>
      </c>
      <c r="AI583" s="64">
        <v>0</v>
      </c>
      <c r="AJ583" s="64">
        <v>0</v>
      </c>
      <c r="AK583" s="64">
        <v>4892509.7329474799</v>
      </c>
      <c r="AL583" s="64">
        <v>0</v>
      </c>
      <c r="AM583" s="64">
        <v>561741.46200000006</v>
      </c>
      <c r="AN583" s="65">
        <v>56174.146200000003</v>
      </c>
      <c r="AO583" s="66">
        <v>106989.27885251999</v>
      </c>
      <c r="AP583" s="128">
        <f>+N583-'Приложение №2'!E592</f>
        <v>0</v>
      </c>
      <c r="AQ583" s="38">
        <v>1148972.82</v>
      </c>
      <c r="AR583" s="25">
        <f t="shared" ref="AR583:AR596" si="373">+(K583*10.5+L583*21)*12*0.85</f>
        <v>229386.78000000003</v>
      </c>
      <c r="AS583" s="25">
        <f t="shared" ref="AS583:AS585" si="374">+(K583*10.5+L583*21)*12*30</f>
        <v>8096004.0000000019</v>
      </c>
      <c r="AT583" s="127">
        <f t="shared" si="349"/>
        <v>-4316281.2900000019</v>
      </c>
      <c r="AU583" s="127">
        <f>+P583-'[6]Приложение №1'!$P546</f>
        <v>0</v>
      </c>
      <c r="AV583" s="127">
        <f>+Q583-'[6]Приложение №1'!$Q546</f>
        <v>0</v>
      </c>
      <c r="AW583" s="88">
        <f t="shared" si="352"/>
        <v>5182411.8588525197</v>
      </c>
      <c r="AX583" s="64">
        <v>0</v>
      </c>
      <c r="AY583" s="64">
        <v>0</v>
      </c>
      <c r="AZ583" s="64">
        <v>0</v>
      </c>
      <c r="BA583" s="64">
        <v>0</v>
      </c>
      <c r="BB583" s="64">
        <v>0</v>
      </c>
      <c r="BC583" s="64"/>
      <c r="BD583" s="64"/>
      <c r="BE583" s="64">
        <v>0</v>
      </c>
      <c r="BF583" s="64">
        <v>0</v>
      </c>
      <c r="BG583" s="64">
        <v>0</v>
      </c>
      <c r="BH583" s="64">
        <v>5075422.58</v>
      </c>
      <c r="BI583" s="64">
        <v>0</v>
      </c>
      <c r="BJ583" s="64"/>
      <c r="BK583" s="65"/>
      <c r="BL583" s="66">
        <v>106989.27885251999</v>
      </c>
    </row>
    <row r="584" spans="1:64" x14ac:dyDescent="0.25">
      <c r="A584" s="141">
        <f t="shared" si="336"/>
        <v>565</v>
      </c>
      <c r="B584" s="142">
        <f t="shared" si="337"/>
        <v>107</v>
      </c>
      <c r="C584" s="62" t="s">
        <v>52</v>
      </c>
      <c r="D584" s="62" t="s">
        <v>1131</v>
      </c>
      <c r="E584" s="123">
        <v>1978</v>
      </c>
      <c r="F584" s="123">
        <v>2012</v>
      </c>
      <c r="G584" s="123" t="s">
        <v>43</v>
      </c>
      <c r="H584" s="123">
        <v>4</v>
      </c>
      <c r="I584" s="123">
        <v>6</v>
      </c>
      <c r="J584" s="64">
        <v>5689.4</v>
      </c>
      <c r="K584" s="64">
        <v>4976.8</v>
      </c>
      <c r="L584" s="64">
        <v>71.5</v>
      </c>
      <c r="M584" s="124">
        <v>227</v>
      </c>
      <c r="N584" s="63">
        <f t="shared" si="360"/>
        <v>2062369.2205299998</v>
      </c>
      <c r="O584" s="64"/>
      <c r="P584" s="65"/>
      <c r="Q584" s="65"/>
      <c r="R584" s="65">
        <f>+'Приложение №2'!E593</f>
        <v>2062369.2205299998</v>
      </c>
      <c r="S584" s="65">
        <f>+'Приложение №2'!E593-'Приложение №1'!R584</f>
        <v>0</v>
      </c>
      <c r="T584" s="65">
        <v>0</v>
      </c>
      <c r="U584" s="65">
        <f t="shared" si="340"/>
        <v>414.39664453665</v>
      </c>
      <c r="V584" s="65">
        <v>1265.2830200640001</v>
      </c>
      <c r="W584" s="126">
        <v>2024</v>
      </c>
      <c r="X584" s="127" t="e">
        <f>+#REF!-'[1]Приложение №1'!$P651</f>
        <v>#REF!</v>
      </c>
      <c r="Z584" s="63">
        <f t="shared" si="365"/>
        <v>2287454.9999999995</v>
      </c>
      <c r="AA584" s="64">
        <v>0</v>
      </c>
      <c r="AB584" s="64">
        <v>0</v>
      </c>
      <c r="AC584" s="64">
        <v>0</v>
      </c>
      <c r="AD584" s="64">
        <v>0</v>
      </c>
      <c r="AE584" s="64">
        <v>1544567.3894700001</v>
      </c>
      <c r="AF584" s="64"/>
      <c r="AG584" s="64">
        <v>0</v>
      </c>
      <c r="AH584" s="64">
        <v>0</v>
      </c>
      <c r="AI584" s="64">
        <v>0</v>
      </c>
      <c r="AJ584" s="64">
        <v>0</v>
      </c>
      <c r="AK584" s="64">
        <v>0</v>
      </c>
      <c r="AL584" s="64">
        <v>0</v>
      </c>
      <c r="AM584" s="64">
        <v>686236.5</v>
      </c>
      <c r="AN584" s="65">
        <v>22874.55</v>
      </c>
      <c r="AO584" s="66">
        <v>33776.560530000002</v>
      </c>
      <c r="AP584" s="128">
        <f>+N584-'Приложение №2'!E593</f>
        <v>0</v>
      </c>
      <c r="AQ584" s="38">
        <v>3083043.07</v>
      </c>
      <c r="AR584" s="25">
        <f t="shared" si="373"/>
        <v>548330.58000000007</v>
      </c>
      <c r="AS584" s="25">
        <f t="shared" si="374"/>
        <v>19352844</v>
      </c>
      <c r="AT584" s="127">
        <f t="shared" si="349"/>
        <v>-19352844</v>
      </c>
      <c r="AU584" s="127">
        <f>+P584-'[6]Приложение №1'!$P548</f>
        <v>0</v>
      </c>
      <c r="AV584" s="127">
        <f>+Q584-'[6]Приложение №1'!$Q548</f>
        <v>0</v>
      </c>
      <c r="AW584" s="88">
        <f t="shared" si="352"/>
        <v>2062369.2205299998</v>
      </c>
      <c r="AX584" s="64">
        <v>0</v>
      </c>
      <c r="AY584" s="64">
        <v>0</v>
      </c>
      <c r="AZ584" s="64">
        <v>0</v>
      </c>
      <c r="BA584" s="64">
        <v>0</v>
      </c>
      <c r="BB584" s="64">
        <v>2028592.66</v>
      </c>
      <c r="BC584" s="64"/>
      <c r="BD584" s="64"/>
      <c r="BE584" s="64">
        <v>0</v>
      </c>
      <c r="BF584" s="64">
        <v>0</v>
      </c>
      <c r="BG584" s="64">
        <v>0</v>
      </c>
      <c r="BH584" s="64">
        <v>0</v>
      </c>
      <c r="BI584" s="64">
        <v>0</v>
      </c>
      <c r="BJ584" s="64"/>
      <c r="BK584" s="65"/>
      <c r="BL584" s="66">
        <v>33776.560530000002</v>
      </c>
    </row>
    <row r="585" spans="1:64" x14ac:dyDescent="0.25">
      <c r="A585" s="141">
        <f t="shared" si="336"/>
        <v>566</v>
      </c>
      <c r="B585" s="142">
        <f t="shared" si="337"/>
        <v>108</v>
      </c>
      <c r="C585" s="62" t="s">
        <v>52</v>
      </c>
      <c r="D585" s="62" t="s">
        <v>1076</v>
      </c>
      <c r="E585" s="123">
        <v>1974</v>
      </c>
      <c r="F585" s="123">
        <v>2013</v>
      </c>
      <c r="G585" s="123" t="s">
        <v>43</v>
      </c>
      <c r="H585" s="123">
        <v>4</v>
      </c>
      <c r="I585" s="123">
        <v>4</v>
      </c>
      <c r="J585" s="64">
        <v>4783.3599999999997</v>
      </c>
      <c r="K585" s="64">
        <v>3510.2</v>
      </c>
      <c r="L585" s="64">
        <v>0</v>
      </c>
      <c r="M585" s="124">
        <v>164</v>
      </c>
      <c r="N585" s="63">
        <f t="shared" si="360"/>
        <v>8709419.2109200004</v>
      </c>
      <c r="O585" s="64"/>
      <c r="P585" s="65"/>
      <c r="Q585" s="65"/>
      <c r="R585" s="65">
        <f>+AQ585+AR585</f>
        <v>1563311.82</v>
      </c>
      <c r="S585" s="65">
        <f>+'Приложение №2'!E594-'Приложение №1'!R585</f>
        <v>7146107.3909200002</v>
      </c>
      <c r="T585" s="65">
        <v>0</v>
      </c>
      <c r="U585" s="65">
        <f t="shared" si="340"/>
        <v>2481.1746370349269</v>
      </c>
      <c r="V585" s="65">
        <v>1266.2830200640001</v>
      </c>
      <c r="W585" s="126">
        <v>2024</v>
      </c>
      <c r="X585" s="127" t="e">
        <f>+#REF!-'[1]Приложение №1'!$P1133</f>
        <v>#REF!</v>
      </c>
      <c r="Z585" s="63">
        <f t="shared" si="365"/>
        <v>10786909.546420002</v>
      </c>
      <c r="AA585" s="64">
        <v>0</v>
      </c>
      <c r="AB585" s="64">
        <v>0</v>
      </c>
      <c r="AC585" s="64">
        <v>0</v>
      </c>
      <c r="AD585" s="64">
        <v>0</v>
      </c>
      <c r="AE585" s="64">
        <v>1314097.3999999999</v>
      </c>
      <c r="AF585" s="64"/>
      <c r="AG585" s="64">
        <v>0</v>
      </c>
      <c r="AH585" s="64">
        <v>0</v>
      </c>
      <c r="AI585" s="64">
        <v>0</v>
      </c>
      <c r="AJ585" s="64">
        <v>0</v>
      </c>
      <c r="AK585" s="64">
        <v>0</v>
      </c>
      <c r="AL585" s="64">
        <v>8060676.2652087007</v>
      </c>
      <c r="AM585" s="64">
        <v>1135899.3550000002</v>
      </c>
      <c r="AN585" s="65">
        <v>95049.965500000006</v>
      </c>
      <c r="AO585" s="66">
        <v>181186.5607113</v>
      </c>
      <c r="AP585" s="128">
        <f>+N585-'Приложение №2'!E594</f>
        <v>0</v>
      </c>
      <c r="AQ585" s="127">
        <f>2096998.22-R281</f>
        <v>1187369.4000000001</v>
      </c>
      <c r="AR585" s="25">
        <f t="shared" si="373"/>
        <v>375942.41999999993</v>
      </c>
      <c r="AS585" s="25">
        <f t="shared" si="374"/>
        <v>13268555.999999998</v>
      </c>
      <c r="AT585" s="127">
        <f t="shared" si="349"/>
        <v>-6122448.609079998</v>
      </c>
      <c r="AU585" s="127">
        <f>+P585-'[6]Приложение №1'!$P549</f>
        <v>0</v>
      </c>
      <c r="AV585" s="127">
        <f>+Q585-'[6]Приложение №1'!$Q549</f>
        <v>0</v>
      </c>
      <c r="AW585" s="88">
        <f t="shared" si="352"/>
        <v>8709419.2109200004</v>
      </c>
      <c r="AX585" s="64">
        <v>0</v>
      </c>
      <c r="AY585" s="64">
        <v>0</v>
      </c>
      <c r="AZ585" s="64">
        <v>0</v>
      </c>
      <c r="BA585" s="64">
        <v>0</v>
      </c>
      <c r="BB585" s="64"/>
      <c r="BC585" s="64"/>
      <c r="BD585" s="64"/>
      <c r="BE585" s="64"/>
      <c r="BF585" s="64"/>
      <c r="BG585" s="64"/>
      <c r="BH585" s="64"/>
      <c r="BI585" s="64">
        <v>8518226.9435697012</v>
      </c>
      <c r="BJ585" s="64"/>
      <c r="BK585" s="65"/>
      <c r="BL585" s="66">
        <v>191192.26735030001</v>
      </c>
    </row>
    <row r="586" spans="1:64" s="74" customFormat="1" x14ac:dyDescent="0.25">
      <c r="A586" s="141">
        <f t="shared" si="336"/>
        <v>567</v>
      </c>
      <c r="B586" s="142">
        <f t="shared" si="337"/>
        <v>109</v>
      </c>
      <c r="C586" s="62" t="s">
        <v>52</v>
      </c>
      <c r="D586" s="62" t="s">
        <v>746</v>
      </c>
      <c r="E586" s="123" t="s">
        <v>131</v>
      </c>
      <c r="F586" s="123"/>
      <c r="G586" s="123" t="s">
        <v>43</v>
      </c>
      <c r="H586" s="123" t="s">
        <v>105</v>
      </c>
      <c r="I586" s="123" t="s">
        <v>98</v>
      </c>
      <c r="J586" s="64">
        <v>1276.4000000000001</v>
      </c>
      <c r="K586" s="64">
        <v>1181.5</v>
      </c>
      <c r="L586" s="64">
        <v>48.4</v>
      </c>
      <c r="M586" s="124">
        <v>69</v>
      </c>
      <c r="N586" s="63">
        <f t="shared" si="360"/>
        <v>20049347.122655615</v>
      </c>
      <c r="O586" s="64">
        <v>0</v>
      </c>
      <c r="P586" s="65"/>
      <c r="Q586" s="65">
        <v>0</v>
      </c>
      <c r="R586" s="65">
        <f>+AR586</f>
        <v>136905.93</v>
      </c>
      <c r="S586" s="65">
        <f>+AS586</f>
        <v>0</v>
      </c>
      <c r="T586" s="65">
        <f>+'Приложение №2'!E595-'Приложение №1'!P586-'Приложение №1'!R586-'Приложение №1'!S586</f>
        <v>19912441.192655616</v>
      </c>
      <c r="U586" s="65">
        <f t="shared" si="340"/>
        <v>16969.400865557018</v>
      </c>
      <c r="V586" s="65">
        <v>1267.2830200640001</v>
      </c>
      <c r="W586" s="126">
        <v>2024</v>
      </c>
      <c r="X586" s="74">
        <v>424539.75</v>
      </c>
      <c r="Y586" s="74">
        <f>+(K586*9.1+L586*18.19)*12</f>
        <v>139584.552</v>
      </c>
      <c r="AA586" s="129">
        <f>+N586-'[5]Приложение № 2'!E515</f>
        <v>15395395.901199615</v>
      </c>
      <c r="AD586" s="129">
        <f>+N586-'[5]Приложение № 2'!E515</f>
        <v>15395395.901199615</v>
      </c>
      <c r="AP586" s="128">
        <f>+N586-'Приложение №2'!E595</f>
        <v>0</v>
      </c>
      <c r="AQ586" s="38">
        <f>687944.89-R284</f>
        <v>-136905.93000000005</v>
      </c>
      <c r="AR586" s="25">
        <f t="shared" si="373"/>
        <v>136905.93</v>
      </c>
      <c r="AS586" s="25">
        <f>+(K586*10.5+L586*21)*12*30-S284</f>
        <v>0</v>
      </c>
      <c r="AT586" s="127">
        <f t="shared" si="349"/>
        <v>0</v>
      </c>
      <c r="AU586" s="127">
        <f>+P586-'[6]Приложение №1'!$P550</f>
        <v>-2512560.0679270476</v>
      </c>
      <c r="AV586" s="127">
        <f>+Q586-'[6]Приложение №1'!$Q550</f>
        <v>0</v>
      </c>
      <c r="AW586" s="88">
        <f t="shared" si="352"/>
        <v>20049347.122655615</v>
      </c>
      <c r="AX586" s="64">
        <v>3048488.282036359</v>
      </c>
      <c r="AY586" s="64">
        <v>1412219.9147629021</v>
      </c>
      <c r="AZ586" s="64"/>
      <c r="BA586" s="64">
        <v>1138276.2887638803</v>
      </c>
      <c r="BB586" s="64">
        <v>498007.81255247578</v>
      </c>
      <c r="BC586" s="64"/>
      <c r="BD586" s="64">
        <v>112672.74739903695</v>
      </c>
      <c r="BE586" s="64">
        <v>0</v>
      </c>
      <c r="BF586" s="64"/>
      <c r="BG586" s="64">
        <v>0</v>
      </c>
      <c r="BH586" s="64">
        <v>8439609.2549422495</v>
      </c>
      <c r="BI586" s="64">
        <v>3575292.6815462569</v>
      </c>
      <c r="BJ586" s="64">
        <v>1430573.4817158235</v>
      </c>
      <c r="BK586" s="65"/>
      <c r="BL586" s="66">
        <v>394206.65893662942</v>
      </c>
    </row>
    <row r="587" spans="1:64" x14ac:dyDescent="0.25">
      <c r="A587" s="141">
        <f t="shared" si="336"/>
        <v>568</v>
      </c>
      <c r="B587" s="142">
        <f t="shared" si="337"/>
        <v>110</v>
      </c>
      <c r="C587" s="62" t="s">
        <v>52</v>
      </c>
      <c r="D587" s="62" t="s">
        <v>1132</v>
      </c>
      <c r="E587" s="123">
        <v>1975</v>
      </c>
      <c r="F587" s="123">
        <v>2013</v>
      </c>
      <c r="G587" s="123" t="s">
        <v>43</v>
      </c>
      <c r="H587" s="123">
        <v>4</v>
      </c>
      <c r="I587" s="123">
        <v>6</v>
      </c>
      <c r="J587" s="64">
        <v>4262.6000000000004</v>
      </c>
      <c r="K587" s="64">
        <v>3725.7</v>
      </c>
      <c r="L587" s="64">
        <v>243.2</v>
      </c>
      <c r="M587" s="124">
        <v>159</v>
      </c>
      <c r="N587" s="95">
        <f t="shared" ref="N587" si="375">+P587+Q587+R587+S587+T587</f>
        <v>10674924.839939507</v>
      </c>
      <c r="O587" s="64"/>
      <c r="P587" s="65">
        <v>2143246.1167999995</v>
      </c>
      <c r="Q587" s="65"/>
      <c r="R587" s="65">
        <f t="shared" ref="R587" si="376">+AQ587+AR587</f>
        <v>775614.69559999998</v>
      </c>
      <c r="S587" s="65">
        <f>+AS587</f>
        <v>4780661.1140000001</v>
      </c>
      <c r="T587" s="65">
        <f>+'Приложение №2'!E596-'Приложение №1'!P587-'Приложение №1'!R587-'Приложение №1'!S587</f>
        <v>2975402.9135395074</v>
      </c>
      <c r="U587" s="64">
        <f t="shared" ref="U587:V587" si="377">$N587/($K587+$L587)</f>
        <v>2689.6431857541152</v>
      </c>
      <c r="V587" s="64">
        <f t="shared" si="377"/>
        <v>2689.6431857541152</v>
      </c>
      <c r="W587" s="126">
        <v>2024</v>
      </c>
      <c r="X587" s="127" t="e">
        <f>+#REF!-'[1]Приложение №1'!$P958</f>
        <v>#REF!</v>
      </c>
      <c r="Z587" s="63">
        <f t="shared" ref="Z587" si="378">SUM(AA587:AO587)</f>
        <v>40281151.460000001</v>
      </c>
      <c r="AA587" s="64">
        <v>9306102.4321519788</v>
      </c>
      <c r="AB587" s="64">
        <v>0</v>
      </c>
      <c r="AC587" s="64">
        <v>0</v>
      </c>
      <c r="AD587" s="64">
        <v>0</v>
      </c>
      <c r="AE587" s="64">
        <v>0</v>
      </c>
      <c r="AF587" s="64"/>
      <c r="AG587" s="64">
        <v>357100.62596124003</v>
      </c>
      <c r="AH587" s="64">
        <v>0</v>
      </c>
      <c r="AI587" s="64">
        <v>17012971.210712399</v>
      </c>
      <c r="AJ587" s="64">
        <v>0</v>
      </c>
      <c r="AK587" s="64">
        <v>8833213.4125485606</v>
      </c>
      <c r="AL587" s="64">
        <v>0</v>
      </c>
      <c r="AM587" s="64">
        <v>3592433.8741000001</v>
      </c>
      <c r="AN587" s="65">
        <v>402811.51459999999</v>
      </c>
      <c r="AO587" s="66">
        <v>776518.38992582005</v>
      </c>
      <c r="AP587" s="128">
        <f>+N587-'Приложение №2'!E596</f>
        <v>0</v>
      </c>
      <c r="AQ587" s="23">
        <f>1889670.92-1080583.3044-463107.12</f>
        <v>345980.49559999991</v>
      </c>
      <c r="AR587" s="25">
        <f t="shared" ref="AR587" si="379">+(K587*10+L587*20)*12*0.85</f>
        <v>429634.2</v>
      </c>
      <c r="AS587" s="25">
        <f>+(K587*10+L587*20)*12*30-4573.626-647859.33-9730465.93</f>
        <v>4780661.1140000001</v>
      </c>
      <c r="AT587" s="127">
        <f t="shared" si="349"/>
        <v>0</v>
      </c>
      <c r="AU587" s="127">
        <f>+P587-'[6]Приложение №1'!$P579</f>
        <v>2143246.1167999995</v>
      </c>
      <c r="AV587" s="127">
        <f>+Q587-'[6]Приложение №1'!$Q579</f>
        <v>0</v>
      </c>
      <c r="AW587" s="63">
        <f t="shared" si="352"/>
        <v>10674924.839939507</v>
      </c>
      <c r="AX587" s="64">
        <v>10082885.3290445</v>
      </c>
      <c r="AY587" s="64">
        <v>0</v>
      </c>
      <c r="AZ587" s="64">
        <v>0</v>
      </c>
      <c r="BA587" s="64">
        <v>0</v>
      </c>
      <c r="BB587" s="64">
        <v>0</v>
      </c>
      <c r="BC587" s="64"/>
      <c r="BD587" s="64">
        <v>363596.11932030058</v>
      </c>
      <c r="BE587" s="64">
        <v>0</v>
      </c>
      <c r="BF587" s="64"/>
      <c r="BG587" s="64">
        <v>0</v>
      </c>
      <c r="BH587" s="64"/>
      <c r="BI587" s="64">
        <v>0</v>
      </c>
      <c r="BJ587" s="64"/>
      <c r="BK587" s="65"/>
      <c r="BL587" s="66">
        <v>228443.39157470543</v>
      </c>
    </row>
    <row r="588" spans="1:64" x14ac:dyDescent="0.25">
      <c r="A588" s="141">
        <f t="shared" si="336"/>
        <v>569</v>
      </c>
      <c r="B588" s="142">
        <f t="shared" si="337"/>
        <v>111</v>
      </c>
      <c r="C588" s="62" t="s">
        <v>52</v>
      </c>
      <c r="D588" s="62" t="s">
        <v>1133</v>
      </c>
      <c r="E588" s="123">
        <v>1976</v>
      </c>
      <c r="F588" s="123">
        <v>2005</v>
      </c>
      <c r="G588" s="123" t="s">
        <v>43</v>
      </c>
      <c r="H588" s="123">
        <v>5</v>
      </c>
      <c r="I588" s="123">
        <v>6</v>
      </c>
      <c r="J588" s="64">
        <v>3918.8</v>
      </c>
      <c r="K588" s="64">
        <v>3433.8</v>
      </c>
      <c r="L588" s="64">
        <v>0</v>
      </c>
      <c r="M588" s="124">
        <v>155</v>
      </c>
      <c r="N588" s="63">
        <f t="shared" si="360"/>
        <v>1090383.0156</v>
      </c>
      <c r="O588" s="64"/>
      <c r="P588" s="65"/>
      <c r="Q588" s="65"/>
      <c r="R588" s="65">
        <f>+'Приложение №2'!E597</f>
        <v>1090383.0156</v>
      </c>
      <c r="S588" s="65">
        <f>+'Приложение №2'!E597-'Приложение №1'!R588</f>
        <v>0</v>
      </c>
      <c r="T588" s="65">
        <v>0</v>
      </c>
      <c r="U588" s="65">
        <f t="shared" si="340"/>
        <v>317.54412475974141</v>
      </c>
      <c r="V588" s="65">
        <v>1269.2830200640001</v>
      </c>
      <c r="W588" s="126">
        <v>2024</v>
      </c>
      <c r="X588" s="127">
        <f>+S588-'[1]Приложение №1'!$P655</f>
        <v>-1580265.24</v>
      </c>
      <c r="Z588" s="63">
        <f>SUM(AA588:AO588)</f>
        <v>1580265.24</v>
      </c>
      <c r="AA588" s="64">
        <v>0</v>
      </c>
      <c r="AB588" s="64">
        <v>0</v>
      </c>
      <c r="AC588" s="64">
        <v>0</v>
      </c>
      <c r="AD588" s="64">
        <v>0</v>
      </c>
      <c r="AE588" s="64">
        <v>1067048.8190661601</v>
      </c>
      <c r="AF588" s="64"/>
      <c r="AG588" s="64">
        <v>0</v>
      </c>
      <c r="AH588" s="64">
        <v>0</v>
      </c>
      <c r="AI588" s="64">
        <v>0</v>
      </c>
      <c r="AJ588" s="64">
        <v>0</v>
      </c>
      <c r="AK588" s="64">
        <v>0</v>
      </c>
      <c r="AL588" s="64">
        <v>0</v>
      </c>
      <c r="AM588" s="64">
        <v>474079.57199999999</v>
      </c>
      <c r="AN588" s="65">
        <v>15802.652400000001</v>
      </c>
      <c r="AO588" s="66">
        <v>23334.19653384</v>
      </c>
      <c r="AP588" s="128">
        <f>+N588-'Приложение №2'!E597</f>
        <v>0</v>
      </c>
      <c r="AQ588" s="23">
        <f>2119160.71-846033</f>
        <v>1273127.71</v>
      </c>
      <c r="AR588" s="25">
        <f t="shared" si="373"/>
        <v>367759.98000000004</v>
      </c>
      <c r="AS588" s="25">
        <f>+(K588*10.5+L588*21)*12*30-62340.65-1126498.46</f>
        <v>11790924.890000001</v>
      </c>
      <c r="AT588" s="127">
        <f t="shared" si="349"/>
        <v>-11790924.890000001</v>
      </c>
      <c r="AU588" s="127">
        <f>+P588-'[6]Приложение №1'!$P552</f>
        <v>0</v>
      </c>
      <c r="AV588" s="127">
        <f>+Q588-'[6]Приложение №1'!$Q552</f>
        <v>0</v>
      </c>
      <c r="AW588" s="88">
        <f t="shared" si="352"/>
        <v>1090383.0156</v>
      </c>
      <c r="AX588" s="64">
        <v>0</v>
      </c>
      <c r="AY588" s="64">
        <v>0</v>
      </c>
      <c r="AZ588" s="64">
        <v>0</v>
      </c>
      <c r="BA588" s="64">
        <v>0</v>
      </c>
      <c r="BB588" s="64">
        <v>1067048.8190661601</v>
      </c>
      <c r="BC588" s="64"/>
      <c r="BD588" s="64"/>
      <c r="BE588" s="64">
        <v>0</v>
      </c>
      <c r="BF588" s="64">
        <v>0</v>
      </c>
      <c r="BG588" s="64">
        <v>0</v>
      </c>
      <c r="BH588" s="64">
        <v>0</v>
      </c>
      <c r="BI588" s="64">
        <v>0</v>
      </c>
      <c r="BJ588" s="64"/>
      <c r="BK588" s="65"/>
      <c r="BL588" s="66">
        <v>23334.19653384</v>
      </c>
    </row>
    <row r="589" spans="1:64" x14ac:dyDescent="0.25">
      <c r="A589" s="141">
        <f t="shared" si="336"/>
        <v>570</v>
      </c>
      <c r="B589" s="142">
        <f t="shared" si="337"/>
        <v>112</v>
      </c>
      <c r="C589" s="62" t="s">
        <v>52</v>
      </c>
      <c r="D589" s="62" t="s">
        <v>691</v>
      </c>
      <c r="E589" s="123">
        <v>1976</v>
      </c>
      <c r="F589" s="123">
        <v>2013</v>
      </c>
      <c r="G589" s="123" t="s">
        <v>43</v>
      </c>
      <c r="H589" s="123">
        <v>4</v>
      </c>
      <c r="I589" s="123">
        <v>4</v>
      </c>
      <c r="J589" s="64">
        <v>2991.3</v>
      </c>
      <c r="K589" s="64">
        <v>2484.4</v>
      </c>
      <c r="L589" s="64">
        <v>250.6</v>
      </c>
      <c r="M589" s="124">
        <v>122</v>
      </c>
      <c r="N589" s="63">
        <f t="shared" si="360"/>
        <v>29566591.758568872</v>
      </c>
      <c r="O589" s="64"/>
      <c r="P589" s="65">
        <v>3677895.9417703999</v>
      </c>
      <c r="Q589" s="65"/>
      <c r="R589" s="65">
        <f t="shared" ref="R589:R594" si="380">+AQ589+AR589</f>
        <v>1766224.8099999998</v>
      </c>
      <c r="S589" s="65">
        <f>+AS589</f>
        <v>10344610.640000001</v>
      </c>
      <c r="T589" s="65">
        <f>+'Приложение №2'!E598-'Приложение №1'!P589-'Приложение №1'!R589-'Приложение №1'!S589</f>
        <v>13777860.366798472</v>
      </c>
      <c r="U589" s="65">
        <f t="shared" si="340"/>
        <v>11900.898308874928</v>
      </c>
      <c r="V589" s="65">
        <v>1271.2830200640001</v>
      </c>
      <c r="W589" s="126">
        <v>2024</v>
      </c>
      <c r="X589" s="127" t="e">
        <f>+#REF!-'[1]Приложение №1'!$P1137</f>
        <v>#REF!</v>
      </c>
      <c r="Z589" s="63">
        <f>SUM(AA589:AO589)</f>
        <v>37022548.278852001</v>
      </c>
      <c r="AA589" s="64">
        <v>6531079.8989818199</v>
      </c>
      <c r="AB589" s="64">
        <v>0</v>
      </c>
      <c r="AC589" s="64">
        <v>0</v>
      </c>
      <c r="AD589" s="64">
        <v>0</v>
      </c>
      <c r="AE589" s="64">
        <v>1171020.99</v>
      </c>
      <c r="AF589" s="64"/>
      <c r="AG589" s="64">
        <v>0</v>
      </c>
      <c r="AH589" s="64">
        <v>0</v>
      </c>
      <c r="AI589" s="64">
        <v>11939807.781027</v>
      </c>
      <c r="AJ589" s="64">
        <v>0</v>
      </c>
      <c r="AK589" s="64">
        <v>6199203.4736406608</v>
      </c>
      <c r="AL589" s="64">
        <v>6686566.5827221796</v>
      </c>
      <c r="AM589" s="64">
        <v>3445210.5711000003</v>
      </c>
      <c r="AN589" s="65">
        <v>359077.49579999998</v>
      </c>
      <c r="AO589" s="66">
        <v>690581.48558034003</v>
      </c>
      <c r="AP589" s="128">
        <f>+N589-'Приложение №2'!E598</f>
        <v>0</v>
      </c>
      <c r="AQ589" s="23">
        <f>1676530.68-230063.63</f>
        <v>1446467.0499999998</v>
      </c>
      <c r="AR589" s="25">
        <f t="shared" si="373"/>
        <v>319757.75999999995</v>
      </c>
      <c r="AS589" s="25">
        <f>+(K589*10.5+L589*21)*12*30-940957.36</f>
        <v>10344610.640000001</v>
      </c>
      <c r="AT589" s="127">
        <f t="shared" si="349"/>
        <v>0</v>
      </c>
      <c r="AU589" s="127">
        <f>+P589-'[6]Приложение №1'!$P554</f>
        <v>0</v>
      </c>
      <c r="AV589" s="127">
        <f>+Q589-'[6]Приложение №1'!$Q554</f>
        <v>0</v>
      </c>
      <c r="AW589" s="88">
        <f t="shared" si="352"/>
        <v>29566591.758568872</v>
      </c>
      <c r="AX589" s="64">
        <v>6531079.8989818199</v>
      </c>
      <c r="AY589" s="64">
        <v>0</v>
      </c>
      <c r="AZ589" s="64">
        <v>0</v>
      </c>
      <c r="BA589" s="64">
        <v>0</v>
      </c>
      <c r="BB589" s="64"/>
      <c r="BC589" s="64"/>
      <c r="BD589" s="64">
        <v>250556.9266902724</v>
      </c>
      <c r="BE589" s="64">
        <v>0</v>
      </c>
      <c r="BF589" s="64">
        <v>14196898.848430499</v>
      </c>
      <c r="BG589" s="64">
        <v>0</v>
      </c>
      <c r="BH589" s="64">
        <v>0</v>
      </c>
      <c r="BI589" s="64">
        <v>7950585.8069997653</v>
      </c>
      <c r="BJ589" s="64"/>
      <c r="BK589" s="65"/>
      <c r="BL589" s="66">
        <v>637470.27746651554</v>
      </c>
    </row>
    <row r="590" spans="1:64" x14ac:dyDescent="0.25">
      <c r="A590" s="141">
        <f t="shared" si="336"/>
        <v>571</v>
      </c>
      <c r="B590" s="142">
        <f t="shared" si="337"/>
        <v>113</v>
      </c>
      <c r="C590" s="62" t="s">
        <v>52</v>
      </c>
      <c r="D590" s="62" t="s">
        <v>747</v>
      </c>
      <c r="E590" s="123">
        <v>1970</v>
      </c>
      <c r="F590" s="123">
        <v>2017</v>
      </c>
      <c r="G590" s="123" t="s">
        <v>43</v>
      </c>
      <c r="H590" s="123">
        <v>5</v>
      </c>
      <c r="I590" s="123">
        <v>2</v>
      </c>
      <c r="J590" s="64">
        <v>1774.6</v>
      </c>
      <c r="K590" s="64">
        <v>1596.4</v>
      </c>
      <c r="L590" s="64">
        <v>0</v>
      </c>
      <c r="M590" s="124">
        <v>61</v>
      </c>
      <c r="N590" s="63">
        <f t="shared" si="360"/>
        <v>5937258.6775746234</v>
      </c>
      <c r="O590" s="64"/>
      <c r="P590" s="65">
        <v>0</v>
      </c>
      <c r="Q590" s="65"/>
      <c r="R590" s="65">
        <f t="shared" si="380"/>
        <v>645312.30999999982</v>
      </c>
      <c r="S590" s="65">
        <f>+'Приложение №2'!E599-'Приложение №1'!R590</f>
        <v>5291946.3675746238</v>
      </c>
      <c r="T590" s="65">
        <f>+'Приложение №2'!E599-'Приложение №1'!P590-'Приложение №1'!R590-'Приложение №1'!S590</f>
        <v>0</v>
      </c>
      <c r="U590" s="65">
        <f t="shared" si="340"/>
        <v>3719.1547717205103</v>
      </c>
      <c r="V590" s="65">
        <v>1272.2830200640001</v>
      </c>
      <c r="W590" s="126">
        <v>2024</v>
      </c>
      <c r="X590" s="127" t="e">
        <f>+#REF!-'[1]Приложение №1'!$P409</f>
        <v>#REF!</v>
      </c>
      <c r="Z590" s="63">
        <f>SUM(AA590:AO590)</f>
        <v>9973803.0700000003</v>
      </c>
      <c r="AA590" s="64">
        <v>3804046.6453625998</v>
      </c>
      <c r="AB590" s="64">
        <v>1355538.2084109599</v>
      </c>
      <c r="AC590" s="64">
        <v>0</v>
      </c>
      <c r="AD590" s="64">
        <v>0</v>
      </c>
      <c r="AE590" s="64"/>
      <c r="AF590" s="64"/>
      <c r="AG590" s="64">
        <v>0</v>
      </c>
      <c r="AH590" s="64">
        <v>0</v>
      </c>
      <c r="AI590" s="64">
        <v>0</v>
      </c>
      <c r="AJ590" s="64">
        <v>0</v>
      </c>
      <c r="AK590" s="64">
        <v>3610744.2460324201</v>
      </c>
      <c r="AL590" s="64">
        <v>0</v>
      </c>
      <c r="AM590" s="64">
        <v>911946.60499999998</v>
      </c>
      <c r="AN590" s="65">
        <v>99738.030700000003</v>
      </c>
      <c r="AO590" s="66">
        <v>191789.33449402</v>
      </c>
      <c r="AP590" s="128">
        <f>+N590-'Приложение №2'!E599</f>
        <v>0</v>
      </c>
      <c r="AQ590" s="23">
        <f>825649.2-84643.55-266667.78</f>
        <v>474337.86999999988</v>
      </c>
      <c r="AR590" s="25">
        <f t="shared" si="373"/>
        <v>170974.44</v>
      </c>
      <c r="AS590" s="25">
        <f>+(K590*10.5+L590*21)*12*30-19875.37-568427.42</f>
        <v>5446089.2100000009</v>
      </c>
      <c r="AT590" s="127">
        <f t="shared" si="349"/>
        <v>-154142.84242537711</v>
      </c>
      <c r="AU590" s="127">
        <f>+P590-'[6]Приложение №1'!$P555</f>
        <v>0</v>
      </c>
      <c r="AV590" s="127">
        <f>+Q590-'[6]Приложение №1'!$Q555</f>
        <v>0</v>
      </c>
      <c r="AW590" s="88">
        <f t="shared" si="352"/>
        <v>5937258.6775746234</v>
      </c>
      <c r="AX590" s="64">
        <v>3811453.2757858438</v>
      </c>
      <c r="AY590" s="64">
        <v>1833049.737318072</v>
      </c>
      <c r="AZ590" s="64">
        <v>0</v>
      </c>
      <c r="BA590" s="64">
        <v>0</v>
      </c>
      <c r="BB590" s="64"/>
      <c r="BC590" s="64"/>
      <c r="BD590" s="64">
        <v>146248.29168861095</v>
      </c>
      <c r="BE590" s="64">
        <v>0</v>
      </c>
      <c r="BF590" s="64">
        <v>0</v>
      </c>
      <c r="BG590" s="64">
        <v>0</v>
      </c>
      <c r="BH590" s="64">
        <v>0</v>
      </c>
      <c r="BI590" s="64">
        <v>0</v>
      </c>
      <c r="BJ590" s="64">
        <v>19875.37</v>
      </c>
      <c r="BK590" s="65"/>
      <c r="BL590" s="66">
        <v>126632.00278209694</v>
      </c>
    </row>
    <row r="591" spans="1:64" s="74" customFormat="1" x14ac:dyDescent="0.25">
      <c r="A591" s="141">
        <f t="shared" si="336"/>
        <v>572</v>
      </c>
      <c r="B591" s="142">
        <f t="shared" si="337"/>
        <v>114</v>
      </c>
      <c r="C591" s="62" t="s">
        <v>52</v>
      </c>
      <c r="D591" s="62" t="s">
        <v>1134</v>
      </c>
      <c r="E591" s="123" t="s">
        <v>116</v>
      </c>
      <c r="F591" s="123"/>
      <c r="G591" s="123" t="s">
        <v>43</v>
      </c>
      <c r="H591" s="123" t="s">
        <v>105</v>
      </c>
      <c r="I591" s="123" t="s">
        <v>105</v>
      </c>
      <c r="J591" s="64">
        <v>3893.1</v>
      </c>
      <c r="K591" s="64">
        <v>3553.5</v>
      </c>
      <c r="L591" s="64">
        <v>0</v>
      </c>
      <c r="M591" s="124">
        <v>150</v>
      </c>
      <c r="N591" s="63">
        <f t="shared" si="360"/>
        <v>63653920.287148647</v>
      </c>
      <c r="O591" s="64">
        <v>0</v>
      </c>
      <c r="P591" s="65">
        <v>8517894.7578108646</v>
      </c>
      <c r="Q591" s="65">
        <v>0</v>
      </c>
      <c r="R591" s="65">
        <f t="shared" si="380"/>
        <v>1578666.48</v>
      </c>
      <c r="S591" s="65">
        <f>+AS591</f>
        <v>13432230</v>
      </c>
      <c r="T591" s="65">
        <f>+'Приложение №2'!E600-'Приложение №1'!P591-'Приложение №1'!Q591-'Приложение №1'!R591-'Приложение №1'!S591</f>
        <v>40125129.049337782</v>
      </c>
      <c r="U591" s="65">
        <f t="shared" si="340"/>
        <v>17913.021046052807</v>
      </c>
      <c r="V591" s="65">
        <v>1273.2830200640001</v>
      </c>
      <c r="W591" s="126">
        <v>2024</v>
      </c>
      <c r="X591" s="74">
        <v>609180.44999999995</v>
      </c>
      <c r="Y591" s="74">
        <f>+(K591*9.1+L591*18.19)*12</f>
        <v>388042.19999999995</v>
      </c>
      <c r="AA591" s="129">
        <f>+N591-'[5]Приложение № 2'!E521</f>
        <v>54905399.567148648</v>
      </c>
      <c r="AD591" s="129">
        <f>+N591-'[5]Приложение № 2'!E521</f>
        <v>54905399.567148648</v>
      </c>
      <c r="AP591" s="128">
        <f>+N591-'Приложение №2'!E600</f>
        <v>0</v>
      </c>
      <c r="AQ591" s="38">
        <v>1198086.6299999999</v>
      </c>
      <c r="AR591" s="25">
        <f t="shared" si="373"/>
        <v>380579.85</v>
      </c>
      <c r="AS591" s="25">
        <f>+(K591*10.5+L591*21)*12*30</f>
        <v>13432230</v>
      </c>
      <c r="AT591" s="127">
        <f t="shared" si="349"/>
        <v>0</v>
      </c>
      <c r="AU591" s="127">
        <f>+P591-'[6]Приложение №1'!$P556</f>
        <v>0</v>
      </c>
      <c r="AV591" s="127">
        <f>+Q591-'[6]Приложение №1'!$Q556</f>
        <v>0</v>
      </c>
      <c r="AW591" s="88">
        <f t="shared" si="352"/>
        <v>63653920.28714864</v>
      </c>
      <c r="AX591" s="64">
        <v>6426692.686332548</v>
      </c>
      <c r="AY591" s="64">
        <v>3800269.7376763392</v>
      </c>
      <c r="AZ591" s="64">
        <v>4017145.7248026631</v>
      </c>
      <c r="BA591" s="64">
        <v>3169959.5700291172</v>
      </c>
      <c r="BB591" s="64"/>
      <c r="BC591" s="64"/>
      <c r="BD591" s="64">
        <v>296539.21750752005</v>
      </c>
      <c r="BE591" s="64"/>
      <c r="BF591" s="64">
        <v>11567597.727553921</v>
      </c>
      <c r="BG591" s="64"/>
      <c r="BH591" s="64">
        <v>22710934.820187993</v>
      </c>
      <c r="BI591" s="64">
        <v>8931908.6262431983</v>
      </c>
      <c r="BJ591" s="64">
        <v>1439566.8121816446</v>
      </c>
      <c r="BK591" s="65"/>
      <c r="BL591" s="66">
        <v>1293305.364633698</v>
      </c>
    </row>
    <row r="592" spans="1:64" s="74" customFormat="1" x14ac:dyDescent="0.25">
      <c r="A592" s="141">
        <f t="shared" si="336"/>
        <v>573</v>
      </c>
      <c r="B592" s="142">
        <f t="shared" si="337"/>
        <v>115</v>
      </c>
      <c r="C592" s="62" t="s">
        <v>52</v>
      </c>
      <c r="D592" s="62" t="s">
        <v>748</v>
      </c>
      <c r="E592" s="123" t="s">
        <v>124</v>
      </c>
      <c r="F592" s="123"/>
      <c r="G592" s="123" t="s">
        <v>43</v>
      </c>
      <c r="H592" s="123" t="s">
        <v>108</v>
      </c>
      <c r="I592" s="123" t="s">
        <v>105</v>
      </c>
      <c r="J592" s="64">
        <v>4021.68</v>
      </c>
      <c r="K592" s="64">
        <v>3212.2</v>
      </c>
      <c r="L592" s="64">
        <v>201.5</v>
      </c>
      <c r="M592" s="124">
        <v>152</v>
      </c>
      <c r="N592" s="63">
        <f t="shared" si="360"/>
        <v>6635666.7163887154</v>
      </c>
      <c r="O592" s="64">
        <v>0</v>
      </c>
      <c r="P592" s="65"/>
      <c r="Q592" s="65">
        <v>0</v>
      </c>
      <c r="R592" s="65">
        <f>+AR592</f>
        <v>387187.91999999993</v>
      </c>
      <c r="S592" s="65">
        <f>+AS592</f>
        <v>0</v>
      </c>
      <c r="T592" s="65">
        <f>+'Приложение №2'!E601-'Приложение №1'!P592-'Приложение №1'!R592-'Приложение №1'!S592</f>
        <v>6248478.7963887155</v>
      </c>
      <c r="U592" s="65">
        <f t="shared" si="340"/>
        <v>2065.7701003638367</v>
      </c>
      <c r="V592" s="65">
        <v>1274.2830200640001</v>
      </c>
      <c r="W592" s="126">
        <v>2024</v>
      </c>
      <c r="X592" s="74">
        <v>1358102.97</v>
      </c>
      <c r="Y592" s="74">
        <f>+(K592*9.1+L592*18.19)*12</f>
        <v>394755.66000000003</v>
      </c>
      <c r="AA592" s="129">
        <f>+N592-'[5]Приложение № 2'!E522</f>
        <v>3964211.3517077556</v>
      </c>
      <c r="AD592" s="129">
        <f>+N592-'[5]Приложение № 2'!E522</f>
        <v>3964211.3517077556</v>
      </c>
      <c r="AP592" s="128">
        <f>+N592-'Приложение №2'!E601</f>
        <v>0</v>
      </c>
      <c r="AQ592" s="38">
        <f>2065064.66-R287</f>
        <v>-387187.92000000016</v>
      </c>
      <c r="AR592" s="25">
        <f t="shared" si="373"/>
        <v>387187.91999999993</v>
      </c>
      <c r="AS592" s="25">
        <f>+(K592*10.5+L592*21)*12*30-S287</f>
        <v>0</v>
      </c>
      <c r="AT592" s="127">
        <f t="shared" si="349"/>
        <v>0</v>
      </c>
      <c r="AU592" s="127">
        <f>+P592-'[6]Приложение №1'!$P557</f>
        <v>-4581465.5337166088</v>
      </c>
      <c r="AV592" s="127">
        <f>+Q592-'[6]Приложение №1'!$Q557</f>
        <v>0</v>
      </c>
      <c r="AW592" s="88">
        <f t="shared" si="352"/>
        <v>6635666.7163887154</v>
      </c>
      <c r="AX592" s="64"/>
      <c r="AY592" s="64"/>
      <c r="AZ592" s="64"/>
      <c r="BA592" s="64">
        <v>3159390.0048404401</v>
      </c>
      <c r="BB592" s="64">
        <v>1459023.889443727</v>
      </c>
      <c r="BC592" s="64"/>
      <c r="BD592" s="64"/>
      <c r="BE592" s="64">
        <v>0</v>
      </c>
      <c r="BF592" s="64"/>
      <c r="BG592" s="64">
        <v>0</v>
      </c>
      <c r="BH592" s="64">
        <v>0</v>
      </c>
      <c r="BI592" s="64">
        <v>0</v>
      </c>
      <c r="BJ592" s="64">
        <v>1231638.8674678032</v>
      </c>
      <c r="BK592" s="65">
        <v>24000</v>
      </c>
      <c r="BL592" s="66">
        <v>761613.95463674469</v>
      </c>
    </row>
    <row r="593" spans="1:64" x14ac:dyDescent="0.25">
      <c r="A593" s="141">
        <f t="shared" si="336"/>
        <v>574</v>
      </c>
      <c r="B593" s="142">
        <f t="shared" si="337"/>
        <v>116</v>
      </c>
      <c r="C593" s="62" t="s">
        <v>52</v>
      </c>
      <c r="D593" s="62" t="s">
        <v>1078</v>
      </c>
      <c r="E593" s="123">
        <v>1974</v>
      </c>
      <c r="F593" s="123">
        <v>2012</v>
      </c>
      <c r="G593" s="123" t="s">
        <v>43</v>
      </c>
      <c r="H593" s="123">
        <v>4</v>
      </c>
      <c r="I593" s="123">
        <v>4</v>
      </c>
      <c r="J593" s="64">
        <v>3917</v>
      </c>
      <c r="K593" s="64">
        <v>3431.9</v>
      </c>
      <c r="L593" s="64">
        <v>0</v>
      </c>
      <c r="M593" s="124">
        <v>163</v>
      </c>
      <c r="N593" s="63">
        <f t="shared" si="360"/>
        <v>4203475.2601596015</v>
      </c>
      <c r="O593" s="64"/>
      <c r="P593" s="65"/>
      <c r="Q593" s="65"/>
      <c r="R593" s="65">
        <f t="shared" si="380"/>
        <v>308170.89000000013</v>
      </c>
      <c r="S593" s="65">
        <f>+AS593-2511556.81</f>
        <v>3895304.3699999996</v>
      </c>
      <c r="T593" s="65">
        <f>+'Приложение №2'!E602-'Приложение №1'!P593-'Приложение №1'!R593-'Приложение №1'!S593</f>
        <v>1.5960168093442917E-4</v>
      </c>
      <c r="U593" s="65">
        <f t="shared" si="340"/>
        <v>1224.8245170778873</v>
      </c>
      <c r="V593" s="65">
        <v>1275.2830200640001</v>
      </c>
      <c r="W593" s="126">
        <v>2024</v>
      </c>
      <c r="X593" s="127" t="e">
        <f>+#REF!-'[1]Приложение №1'!$P657</f>
        <v>#REF!</v>
      </c>
      <c r="Z593" s="63">
        <f>SUM(AA593:AO593)</f>
        <v>9641868.1699999999</v>
      </c>
      <c r="AA593" s="64">
        <v>0</v>
      </c>
      <c r="AB593" s="64">
        <v>0</v>
      </c>
      <c r="AC593" s="64">
        <v>0</v>
      </c>
      <c r="AD593" s="64">
        <v>0</v>
      </c>
      <c r="AE593" s="64">
        <v>0</v>
      </c>
      <c r="AF593" s="64"/>
      <c r="AG593" s="64">
        <v>0</v>
      </c>
      <c r="AH593" s="64">
        <v>0</v>
      </c>
      <c r="AI593" s="64">
        <v>0</v>
      </c>
      <c r="AJ593" s="64">
        <v>0</v>
      </c>
      <c r="AK593" s="64">
        <v>0</v>
      </c>
      <c r="AL593" s="64">
        <v>8397623.6501341797</v>
      </c>
      <c r="AM593" s="64">
        <v>964186.81700000004</v>
      </c>
      <c r="AN593" s="65">
        <v>96418.681700000001</v>
      </c>
      <c r="AO593" s="66">
        <v>183639.02116581998</v>
      </c>
      <c r="AP593" s="128">
        <f>+N593-'Приложение №2'!E602</f>
        <v>0</v>
      </c>
      <c r="AQ593" s="38">
        <f>2029704.09-R288</f>
        <v>-59385.59999999986</v>
      </c>
      <c r="AR593" s="25">
        <f t="shared" si="373"/>
        <v>367556.49</v>
      </c>
      <c r="AS593" s="25">
        <f>+(K593*10.5+L593*21)*12*30-S288</f>
        <v>6406861.1799999997</v>
      </c>
      <c r="AT593" s="127">
        <f t="shared" si="349"/>
        <v>-2511556.81</v>
      </c>
      <c r="AU593" s="127">
        <f>+P593-'[6]Приложение №1'!$P558</f>
        <v>-1511702.0514524882</v>
      </c>
      <c r="AV593" s="127">
        <f>+Q593-'[6]Приложение №1'!$Q558</f>
        <v>0</v>
      </c>
      <c r="AW593" s="88">
        <f t="shared" si="352"/>
        <v>4203475.2601596015</v>
      </c>
      <c r="AX593" s="64"/>
      <c r="AY593" s="64"/>
      <c r="AZ593" s="64"/>
      <c r="BA593" s="64"/>
      <c r="BB593" s="64">
        <v>1373738.52</v>
      </c>
      <c r="BC593" s="64"/>
      <c r="BD593" s="64"/>
      <c r="BE593" s="64">
        <v>0</v>
      </c>
      <c r="BF593" s="64">
        <v>0</v>
      </c>
      <c r="BG593" s="64">
        <v>0</v>
      </c>
      <c r="BH593" s="64">
        <v>0</v>
      </c>
      <c r="BI593" s="64">
        <v>0</v>
      </c>
      <c r="BJ593" s="64">
        <v>2241354.1289639203</v>
      </c>
      <c r="BK593" s="65">
        <v>204049.12125809959</v>
      </c>
      <c r="BL593" s="66">
        <v>384333.48993758194</v>
      </c>
    </row>
    <row r="594" spans="1:64" s="74" customFormat="1" x14ac:dyDescent="0.25">
      <c r="A594" s="141">
        <f t="shared" si="336"/>
        <v>575</v>
      </c>
      <c r="B594" s="142">
        <f t="shared" si="337"/>
        <v>117</v>
      </c>
      <c r="C594" s="62" t="s">
        <v>52</v>
      </c>
      <c r="D594" s="62" t="s">
        <v>749</v>
      </c>
      <c r="E594" s="123" t="s">
        <v>114</v>
      </c>
      <c r="F594" s="123"/>
      <c r="G594" s="123" t="s">
        <v>43</v>
      </c>
      <c r="H594" s="123" t="s">
        <v>105</v>
      </c>
      <c r="I594" s="123" t="s">
        <v>105</v>
      </c>
      <c r="J594" s="64">
        <v>3131.3</v>
      </c>
      <c r="K594" s="64">
        <v>2721.1</v>
      </c>
      <c r="L594" s="64">
        <v>64.900000000000006</v>
      </c>
      <c r="M594" s="124">
        <v>111</v>
      </c>
      <c r="N594" s="63">
        <f t="shared" si="360"/>
        <v>36604733.173482612</v>
      </c>
      <c r="O594" s="64">
        <v>0</v>
      </c>
      <c r="P594" s="65">
        <v>3119886.4825000009</v>
      </c>
      <c r="Q594" s="65">
        <v>0</v>
      </c>
      <c r="R594" s="65">
        <f t="shared" si="380"/>
        <v>2024960.9100000001</v>
      </c>
      <c r="S594" s="65">
        <f>+AS594</f>
        <v>10776402</v>
      </c>
      <c r="T594" s="65">
        <f>+'Приложение №2'!E603-'Приложение №1'!P594-'Приложение №1'!R594-'Приложение №1'!S594</f>
        <v>20683483.78098261</v>
      </c>
      <c r="U594" s="65">
        <f t="shared" si="340"/>
        <v>13452.182269480216</v>
      </c>
      <c r="V594" s="65">
        <v>1276.2830200640001</v>
      </c>
      <c r="W594" s="126">
        <v>2024</v>
      </c>
      <c r="X594" s="74">
        <v>1106960.28</v>
      </c>
      <c r="Y594" s="74">
        <f>+(K594*9.1+L594*18.19)*12</f>
        <v>311310.49199999997</v>
      </c>
      <c r="AA594" s="129">
        <f>+N594-'[5]Приложение № 2'!E524</f>
        <v>15056573.173482612</v>
      </c>
      <c r="AD594" s="129">
        <f>+N594-'[5]Приложение № 2'!E524</f>
        <v>15056573.173482612</v>
      </c>
      <c r="AP594" s="128">
        <f>+N594-'Приложение №2'!E603</f>
        <v>0</v>
      </c>
      <c r="AQ594" s="38">
        <v>1719629.52</v>
      </c>
      <c r="AR594" s="25">
        <f t="shared" si="373"/>
        <v>305331.39</v>
      </c>
      <c r="AS594" s="25">
        <f>+(K594*10.5+L594*21)*12*30</f>
        <v>10776402</v>
      </c>
      <c r="AT594" s="127">
        <f t="shared" si="349"/>
        <v>0</v>
      </c>
      <c r="AU594" s="127">
        <f>+P594-'[6]Приложение №1'!$P559</f>
        <v>0</v>
      </c>
      <c r="AV594" s="127">
        <f>+Q594-'[6]Приложение №1'!$Q559</f>
        <v>0</v>
      </c>
      <c r="AW594" s="88">
        <f t="shared" si="352"/>
        <v>36604733.173482612</v>
      </c>
      <c r="AX594" s="64"/>
      <c r="AY594" s="64">
        <v>2569498.1666174689</v>
      </c>
      <c r="AZ594" s="64">
        <v>2781035.5982677904</v>
      </c>
      <c r="BA594" s="64">
        <v>1702285.7458574688</v>
      </c>
      <c r="BB594" s="64">
        <v>1236504.5566667134</v>
      </c>
      <c r="BC594" s="64"/>
      <c r="BD594" s="64"/>
      <c r="BE594" s="64"/>
      <c r="BF594" s="64"/>
      <c r="BG594" s="64"/>
      <c r="BH594" s="64">
        <v>19117612.313414998</v>
      </c>
      <c r="BI594" s="64">
        <v>7647211.0565302186</v>
      </c>
      <c r="BJ594" s="64">
        <v>1005086.0352408147</v>
      </c>
      <c r="BK594" s="65">
        <v>44175.978967199997</v>
      </c>
      <c r="BL594" s="66">
        <v>501323.72191994853</v>
      </c>
    </row>
    <row r="595" spans="1:64" x14ac:dyDescent="0.25">
      <c r="A595" s="141">
        <f t="shared" si="336"/>
        <v>576</v>
      </c>
      <c r="B595" s="142">
        <f t="shared" si="337"/>
        <v>118</v>
      </c>
      <c r="C595" s="62" t="s">
        <v>52</v>
      </c>
      <c r="D595" s="62" t="s">
        <v>1019</v>
      </c>
      <c r="E595" s="123">
        <v>1974</v>
      </c>
      <c r="F595" s="123">
        <v>2013</v>
      </c>
      <c r="G595" s="123" t="s">
        <v>43</v>
      </c>
      <c r="H595" s="123">
        <v>4</v>
      </c>
      <c r="I595" s="123">
        <v>4</v>
      </c>
      <c r="J595" s="64">
        <v>3890.5</v>
      </c>
      <c r="K595" s="64">
        <v>3406.6</v>
      </c>
      <c r="L595" s="64">
        <v>0</v>
      </c>
      <c r="M595" s="124">
        <v>175</v>
      </c>
      <c r="N595" s="63">
        <f t="shared" si="360"/>
        <v>6459328.3847494349</v>
      </c>
      <c r="O595" s="64"/>
      <c r="P595" s="65">
        <v>1508576.21</v>
      </c>
      <c r="Q595" s="65"/>
      <c r="R595" s="65">
        <v>347208</v>
      </c>
      <c r="S595" s="65"/>
      <c r="T595" s="65">
        <f>+'Приложение №2'!E604-'Приложение №1'!P595-'Приложение №1'!R595-'Приложение №1'!S595</f>
        <v>4603544.1747494349</v>
      </c>
      <c r="U595" s="65">
        <f t="shared" si="340"/>
        <v>1896.1217591585262</v>
      </c>
      <c r="V595" s="65">
        <v>1277.2830200640001</v>
      </c>
      <c r="W595" s="126">
        <v>2024</v>
      </c>
      <c r="X595" s="127" t="e">
        <f>+#REF!-'[1]Приложение №1'!$P1436</f>
        <v>#REF!</v>
      </c>
      <c r="Z595" s="63">
        <f t="shared" ref="Z595" si="381">SUM(AA595:AO595)</f>
        <v>6381512.8399999999</v>
      </c>
      <c r="AA595" s="64">
        <v>5682903.1033538394</v>
      </c>
      <c r="AB595" s="64">
        <v>0</v>
      </c>
      <c r="AC595" s="64">
        <v>0</v>
      </c>
      <c r="AD595" s="64">
        <v>0</v>
      </c>
      <c r="AE595" s="64">
        <v>0</v>
      </c>
      <c r="AF595" s="64"/>
      <c r="AG595" s="64">
        <v>0</v>
      </c>
      <c r="AH595" s="64">
        <v>0</v>
      </c>
      <c r="AI595" s="64">
        <v>0</v>
      </c>
      <c r="AJ595" s="64">
        <v>0</v>
      </c>
      <c r="AK595" s="64">
        <v>0</v>
      </c>
      <c r="AL595" s="64">
        <v>0</v>
      </c>
      <c r="AM595" s="64">
        <v>510521.02720000001</v>
      </c>
      <c r="AN595" s="65">
        <v>63815.128400000001</v>
      </c>
      <c r="AO595" s="66">
        <v>124273.58104615999</v>
      </c>
      <c r="AP595" s="128">
        <f>+N595-'Приложение №2'!E604</f>
        <v>0</v>
      </c>
      <c r="AQ595" s="127">
        <f>1970404.04-R291</f>
        <v>1622930.84</v>
      </c>
      <c r="AR595" s="25">
        <f t="shared" si="373"/>
        <v>364846.86</v>
      </c>
      <c r="AS595" s="25">
        <f>+(K595*10.5+L595*21)*12*30-S291</f>
        <v>12850464.051890001</v>
      </c>
      <c r="AT595" s="127">
        <f t="shared" si="349"/>
        <v>-12850464.051890001</v>
      </c>
      <c r="AU595" s="127">
        <f>+P595-'[6]Приложение №1'!$P560</f>
        <v>363270.9666461607</v>
      </c>
      <c r="AV595" s="127">
        <f>+Q595-'[6]Приложение №1'!$Q560</f>
        <v>0</v>
      </c>
      <c r="AW595" s="88">
        <f t="shared" si="352"/>
        <v>6459328.3847494349</v>
      </c>
      <c r="AX595" s="64">
        <v>6046174.0700000003</v>
      </c>
      <c r="AY595" s="64">
        <v>0</v>
      </c>
      <c r="AZ595" s="64">
        <v>0</v>
      </c>
      <c r="BA595" s="64">
        <v>0</v>
      </c>
      <c r="BB595" s="64">
        <v>0</v>
      </c>
      <c r="BC595" s="64"/>
      <c r="BD595" s="64">
        <v>282605.80883354222</v>
      </c>
      <c r="BE595" s="64">
        <v>0</v>
      </c>
      <c r="BF595" s="64">
        <v>0</v>
      </c>
      <c r="BG595" s="64">
        <v>0</v>
      </c>
      <c r="BH595" s="64">
        <v>0</v>
      </c>
      <c r="BI595" s="64">
        <v>0</v>
      </c>
      <c r="BJ595" s="64"/>
      <c r="BK595" s="65"/>
      <c r="BL595" s="66">
        <v>130548.50591589263</v>
      </c>
    </row>
    <row r="596" spans="1:64" x14ac:dyDescent="0.25">
      <c r="A596" s="141">
        <f t="shared" si="336"/>
        <v>577</v>
      </c>
      <c r="B596" s="142">
        <f t="shared" si="337"/>
        <v>119</v>
      </c>
      <c r="C596" s="62" t="s">
        <v>52</v>
      </c>
      <c r="D596" s="62" t="s">
        <v>1023</v>
      </c>
      <c r="E596" s="123">
        <v>1978</v>
      </c>
      <c r="F596" s="123">
        <v>2008</v>
      </c>
      <c r="G596" s="123" t="s">
        <v>43</v>
      </c>
      <c r="H596" s="123">
        <v>5</v>
      </c>
      <c r="I596" s="123">
        <v>4</v>
      </c>
      <c r="J596" s="64">
        <v>3883.8</v>
      </c>
      <c r="K596" s="64">
        <v>3458.3</v>
      </c>
      <c r="L596" s="64">
        <v>0</v>
      </c>
      <c r="M596" s="124">
        <v>222</v>
      </c>
      <c r="N596" s="63">
        <f t="shared" ref="N596:N597" si="382">+P596+Q596+R596+S596+T596</f>
        <v>27247081.125</v>
      </c>
      <c r="O596" s="64"/>
      <c r="P596" s="65">
        <v>285164.34761833027</v>
      </c>
      <c r="Q596" s="65"/>
      <c r="R596" s="65">
        <f>+AQ596+AR596</f>
        <v>1725806.0100000002</v>
      </c>
      <c r="S596" s="65">
        <f t="shared" ref="S596" si="383">+AS596</f>
        <v>4289440.9156542011</v>
      </c>
      <c r="T596" s="65">
        <f>+'Приложение №2'!E605-'Приложение №1'!P596-'Приложение №1'!R596-'Приложение №1'!S596</f>
        <v>20946669.851727467</v>
      </c>
      <c r="U596" s="65">
        <f t="shared" ref="U596:U597" si="384">N596/K596</f>
        <v>7878.75</v>
      </c>
      <c r="V596" s="65">
        <v>1278.2830200640001</v>
      </c>
      <c r="W596" s="126">
        <v>2024</v>
      </c>
      <c r="X596" s="127"/>
      <c r="Z596" s="63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  <c r="AN596" s="65"/>
      <c r="AO596" s="66"/>
      <c r="AP596" s="128">
        <f>+N596-'Приложение №2'!E605</f>
        <v>0</v>
      </c>
      <c r="AQ596" s="127">
        <f>2031878.21+AR84-R84</f>
        <v>1355422.08</v>
      </c>
      <c r="AR596" s="25">
        <f t="shared" si="373"/>
        <v>370383.93000000005</v>
      </c>
      <c r="AS596" s="25">
        <f>+(K596*10.5+L596*21)*12*30-S84</f>
        <v>4289440.9156542011</v>
      </c>
      <c r="AT596" s="127"/>
      <c r="AU596" s="127"/>
      <c r="AV596" s="127"/>
      <c r="AW596" s="88">
        <f t="shared" si="352"/>
        <v>27247081.125</v>
      </c>
      <c r="AX596" s="64"/>
      <c r="AY596" s="64"/>
      <c r="AZ596" s="64"/>
      <c r="BA596" s="64"/>
      <c r="BB596" s="64"/>
      <c r="BC596" s="64"/>
      <c r="BD596" s="64"/>
      <c r="BE596" s="64"/>
      <c r="BF596" s="64"/>
      <c r="BG596" s="64"/>
      <c r="BH596" s="64">
        <v>23730954.294143248</v>
      </c>
      <c r="BI596" s="64">
        <v>0</v>
      </c>
      <c r="BJ596" s="64">
        <v>2724708.1125000003</v>
      </c>
      <c r="BK596" s="64">
        <v>272470.81125000003</v>
      </c>
      <c r="BL596" s="66">
        <v>518947.90710675</v>
      </c>
    </row>
    <row r="597" spans="1:64" x14ac:dyDescent="0.25">
      <c r="A597" s="141">
        <f t="shared" si="336"/>
        <v>578</v>
      </c>
      <c r="B597" s="142">
        <f t="shared" si="337"/>
        <v>120</v>
      </c>
      <c r="C597" s="62" t="s">
        <v>52</v>
      </c>
      <c r="D597" s="62" t="s">
        <v>1082</v>
      </c>
      <c r="E597" s="123">
        <v>1978</v>
      </c>
      <c r="F597" s="123">
        <v>2008</v>
      </c>
      <c r="G597" s="123" t="s">
        <v>43</v>
      </c>
      <c r="H597" s="123">
        <v>5</v>
      </c>
      <c r="I597" s="123">
        <v>4</v>
      </c>
      <c r="J597" s="64">
        <v>4929.7</v>
      </c>
      <c r="K597" s="64">
        <v>4335.1000000000004</v>
      </c>
      <c r="L597" s="64">
        <v>0</v>
      </c>
      <c r="M597" s="124">
        <v>213</v>
      </c>
      <c r="N597" s="95">
        <f t="shared" si="382"/>
        <v>25753722.3442409</v>
      </c>
      <c r="O597" s="64"/>
      <c r="P597" s="65">
        <v>5725470.5333099999</v>
      </c>
      <c r="Q597" s="65"/>
      <c r="R597" s="65">
        <f>+AQ597+AR597</f>
        <v>2519251.88</v>
      </c>
      <c r="S597" s="65">
        <f>+AS597</f>
        <v>15606360</v>
      </c>
      <c r="T597" s="65">
        <f>+'Приложение №2'!E606-'Приложение №1'!P597-'Приложение №1'!R597-'Приложение №1'!S597</f>
        <v>1902639.9309309013</v>
      </c>
      <c r="U597" s="65">
        <f t="shared" si="384"/>
        <v>5940.7446989091131</v>
      </c>
      <c r="V597" s="65">
        <v>1279.2830200640001</v>
      </c>
      <c r="W597" s="126">
        <v>2024</v>
      </c>
      <c r="X597" s="127" t="e">
        <f>+#REF!-'[1]Приложение №1'!$P1290</f>
        <v>#REF!</v>
      </c>
      <c r="Z597" s="63">
        <f t="shared" ref="Z597" si="385">SUM(AA597:AO597)</f>
        <v>44837101.50993</v>
      </c>
      <c r="AA597" s="64">
        <v>0</v>
      </c>
      <c r="AB597" s="64">
        <v>4199173.3275891002</v>
      </c>
      <c r="AC597" s="64">
        <v>4438837.1277801599</v>
      </c>
      <c r="AD597" s="64">
        <v>3384651.0431630402</v>
      </c>
      <c r="AE597" s="64">
        <v>1471946.54</v>
      </c>
      <c r="AF597" s="64"/>
      <c r="AG597" s="64">
        <v>360791.89596239995</v>
      </c>
      <c r="AH597" s="64">
        <v>0</v>
      </c>
      <c r="AI597" s="64">
        <v>0</v>
      </c>
      <c r="AJ597" s="64">
        <v>0</v>
      </c>
      <c r="AK597" s="64">
        <v>25094924.378064241</v>
      </c>
      <c r="AL597" s="64">
        <v>0</v>
      </c>
      <c r="AM597" s="64">
        <v>4627048.3442000002</v>
      </c>
      <c r="AN597" s="65">
        <v>433511.50789999997</v>
      </c>
      <c r="AO597" s="66">
        <v>826217.34527106001</v>
      </c>
      <c r="AP597" s="128">
        <f>+N597-'Приложение №2'!E606</f>
        <v>0</v>
      </c>
      <c r="AQ597" s="127">
        <f>2077071.68</f>
        <v>2077071.68</v>
      </c>
      <c r="AR597" s="25">
        <f t="shared" ref="AR597" si="386">+(K597*10+L597*20)*12*0.85</f>
        <v>442180.2</v>
      </c>
      <c r="AS597" s="25">
        <f>+(K597*10+L597*20)*12*30</f>
        <v>15606360</v>
      </c>
      <c r="AT597" s="127">
        <f t="shared" ref="AT597" si="387">+S597-AS597</f>
        <v>0</v>
      </c>
      <c r="AU597" s="127">
        <f>+P597-'[6]Приложение №1'!$P581</f>
        <v>5725470.5333099999</v>
      </c>
      <c r="AV597" s="127">
        <f>+Q597-'[6]Приложение №1'!$Q581</f>
        <v>0</v>
      </c>
      <c r="AW597" s="63">
        <f t="shared" si="352"/>
        <v>25753722.3442409</v>
      </c>
      <c r="AX597" s="64">
        <v>0</v>
      </c>
      <c r="AY597" s="64"/>
      <c r="AZ597" s="64"/>
      <c r="BA597" s="64"/>
      <c r="BB597" s="64"/>
      <c r="BC597" s="64"/>
      <c r="BD597" s="64"/>
      <c r="BE597" s="64">
        <v>0</v>
      </c>
      <c r="BF597" s="64">
        <v>0</v>
      </c>
      <c r="BG597" s="64">
        <v>0</v>
      </c>
      <c r="BH597" s="64">
        <v>25094924.378064241</v>
      </c>
      <c r="BI597" s="64">
        <v>0</v>
      </c>
      <c r="BJ597" s="64"/>
      <c r="BK597" s="65"/>
      <c r="BL597" s="66">
        <f>555416.30026576+103381.6659109</f>
        <v>658797.96617666003</v>
      </c>
    </row>
    <row r="598" spans="1:64" x14ac:dyDescent="0.25">
      <c r="A598" s="141">
        <f t="shared" si="336"/>
        <v>579</v>
      </c>
      <c r="B598" s="142">
        <f t="shared" si="337"/>
        <v>121</v>
      </c>
      <c r="C598" s="62" t="s">
        <v>52</v>
      </c>
      <c r="D598" s="62" t="s">
        <v>751</v>
      </c>
      <c r="E598" s="123">
        <v>1999</v>
      </c>
      <c r="F598" s="123">
        <v>1999</v>
      </c>
      <c r="G598" s="123" t="s">
        <v>43</v>
      </c>
      <c r="H598" s="123">
        <v>9</v>
      </c>
      <c r="I598" s="123">
        <v>3</v>
      </c>
      <c r="J598" s="64">
        <v>8088.49</v>
      </c>
      <c r="K598" s="64">
        <v>6790.2</v>
      </c>
      <c r="L598" s="64">
        <v>225.6</v>
      </c>
      <c r="M598" s="124">
        <v>255</v>
      </c>
      <c r="N598" s="63">
        <f t="shared" ref="N598:N619" si="388">SUM(O598:T598)</f>
        <v>12813150</v>
      </c>
      <c r="O598" s="64"/>
      <c r="P598" s="65"/>
      <c r="Q598" s="65"/>
      <c r="R598" s="65">
        <f t="shared" ref="R598" si="389">+AQ598+AR598</f>
        <v>6457441.8459999999</v>
      </c>
      <c r="S598" s="65">
        <f>+'Приложение №2'!E607-'Приложение №1'!R598</f>
        <v>6355708.1540000001</v>
      </c>
      <c r="T598" s="65">
        <v>0</v>
      </c>
      <c r="U598" s="65">
        <f t="shared" si="340"/>
        <v>1887.0062737474595</v>
      </c>
      <c r="V598" s="65">
        <v>1284.2830200640001</v>
      </c>
      <c r="W598" s="126">
        <v>2024</v>
      </c>
      <c r="X598" s="127"/>
      <c r="Z598" s="63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  <c r="AN598" s="65"/>
      <c r="AO598" s="66"/>
      <c r="AP598" s="128">
        <f>+N598-'Приложение №2'!E607</f>
        <v>0</v>
      </c>
      <c r="AQ598" s="38">
        <v>5436842.7999999998</v>
      </c>
      <c r="AR598" s="25">
        <f>+(K598*13.95+L598*23.65)*12*0.85</f>
        <v>1020599.046</v>
      </c>
      <c r="AS598" s="25">
        <f>+(K598*13.95+L598*23.65)*12*30</f>
        <v>36021142.799999997</v>
      </c>
      <c r="AT598" s="127">
        <f t="shared" si="349"/>
        <v>-29665434.645999998</v>
      </c>
      <c r="AU598" s="127">
        <f>+P598-'[6]Приложение №1'!$P567</f>
        <v>0</v>
      </c>
      <c r="AV598" s="127">
        <f>+Q598-'[6]Приложение №1'!$Q567</f>
        <v>0</v>
      </c>
      <c r="AW598" s="88">
        <f t="shared" si="352"/>
        <v>12813150</v>
      </c>
      <c r="AX598" s="64"/>
      <c r="AY598" s="64"/>
      <c r="AZ598" s="64"/>
      <c r="BA598" s="64"/>
      <c r="BB598" s="64"/>
      <c r="BC598" s="64"/>
      <c r="BD598" s="64"/>
      <c r="BE598" s="64">
        <v>12037390.646400001</v>
      </c>
      <c r="BF598" s="64"/>
      <c r="BG598" s="64"/>
      <c r="BH598" s="64"/>
      <c r="BI598" s="64"/>
      <c r="BJ598" s="64">
        <v>384394.5</v>
      </c>
      <c r="BK598" s="65">
        <v>128131.5</v>
      </c>
      <c r="BL598" s="66">
        <v>263233.35360000003</v>
      </c>
    </row>
    <row r="599" spans="1:64" x14ac:dyDescent="0.25">
      <c r="A599" s="141">
        <f t="shared" si="336"/>
        <v>580</v>
      </c>
      <c r="B599" s="142">
        <f t="shared" si="337"/>
        <v>122</v>
      </c>
      <c r="C599" s="62" t="s">
        <v>52</v>
      </c>
      <c r="D599" s="62" t="s">
        <v>753</v>
      </c>
      <c r="E599" s="123">
        <v>1984</v>
      </c>
      <c r="F599" s="123">
        <v>2013</v>
      </c>
      <c r="G599" s="123" t="s">
        <v>43</v>
      </c>
      <c r="H599" s="123">
        <v>4</v>
      </c>
      <c r="I599" s="123">
        <v>6</v>
      </c>
      <c r="J599" s="64">
        <v>5500.86</v>
      </c>
      <c r="K599" s="64">
        <v>4979.26</v>
      </c>
      <c r="L599" s="64">
        <v>0</v>
      </c>
      <c r="M599" s="124">
        <v>210</v>
      </c>
      <c r="N599" s="63">
        <f t="shared" si="388"/>
        <v>2323481.64</v>
      </c>
      <c r="O599" s="64"/>
      <c r="P599" s="65"/>
      <c r="Q599" s="65"/>
      <c r="R599" s="65">
        <f>+'Приложение №2'!E608</f>
        <v>2323481.64</v>
      </c>
      <c r="S599" s="65">
        <f>+'Приложение №2'!E608-'Приложение №1'!R599</f>
        <v>0</v>
      </c>
      <c r="T599" s="65">
        <v>0</v>
      </c>
      <c r="U599" s="65">
        <f t="shared" ref="U599:U669" si="390">N599/K599</f>
        <v>466.63191719251455</v>
      </c>
      <c r="V599" s="65">
        <v>1287.2830200640001</v>
      </c>
      <c r="W599" s="126">
        <v>2024</v>
      </c>
      <c r="X599" s="127" t="e">
        <f>+#REF!-'[1]Приложение №1'!$P1045</f>
        <v>#REF!</v>
      </c>
      <c r="Z599" s="63">
        <f t="shared" ref="Z599:Z606" si="391">SUM(AA599:AO599)</f>
        <v>2299959.7400000002</v>
      </c>
      <c r="AA599" s="64">
        <v>0</v>
      </c>
      <c r="AB599" s="64">
        <v>0</v>
      </c>
      <c r="AC599" s="64">
        <v>0</v>
      </c>
      <c r="AD599" s="64">
        <v>0</v>
      </c>
      <c r="AE599" s="64">
        <v>2156118.2507340005</v>
      </c>
      <c r="AF599" s="64"/>
      <c r="AG599" s="64">
        <v>0</v>
      </c>
      <c r="AH599" s="64">
        <v>0</v>
      </c>
      <c r="AI599" s="64">
        <v>0</v>
      </c>
      <c r="AJ599" s="64">
        <v>0</v>
      </c>
      <c r="AK599" s="64">
        <v>0</v>
      </c>
      <c r="AL599" s="64">
        <v>0</v>
      </c>
      <c r="AM599" s="64">
        <v>90857.4</v>
      </c>
      <c r="AN599" s="64">
        <v>5834.15</v>
      </c>
      <c r="AO599" s="66">
        <v>47149.939266000009</v>
      </c>
      <c r="AP599" s="128">
        <f>+N599-'Приложение №2'!E608</f>
        <v>0</v>
      </c>
      <c r="AQ599" s="38">
        <v>2867493.87</v>
      </c>
      <c r="AR599" s="25">
        <f t="shared" ref="AR599:AR604" si="392">+(K599*10.5+L599*21)*12*0.85</f>
        <v>533278.74600000004</v>
      </c>
      <c r="AS599" s="25">
        <f t="shared" ref="AS599:AS604" si="393">+(K599*10.5+L599*21)*12*30</f>
        <v>18821602.800000001</v>
      </c>
      <c r="AT599" s="127">
        <f t="shared" si="349"/>
        <v>-18821602.800000001</v>
      </c>
      <c r="AU599" s="127">
        <f>+P599-'[6]Приложение №1'!$P570</f>
        <v>0</v>
      </c>
      <c r="AV599" s="127">
        <f>+Q599-'[6]Приложение №1'!$Q570</f>
        <v>0</v>
      </c>
      <c r="AW599" s="88">
        <f t="shared" si="352"/>
        <v>2323481.64</v>
      </c>
      <c r="AX599" s="64">
        <v>0</v>
      </c>
      <c r="AY599" s="64">
        <v>0</v>
      </c>
      <c r="AZ599" s="64">
        <v>0</v>
      </c>
      <c r="BA599" s="64">
        <v>0</v>
      </c>
      <c r="BB599" s="64">
        <v>2156118.2507340005</v>
      </c>
      <c r="BC599" s="64"/>
      <c r="BD599" s="64"/>
      <c r="BE599" s="64">
        <v>0</v>
      </c>
      <c r="BF599" s="64">
        <v>0</v>
      </c>
      <c r="BG599" s="64">
        <v>0</v>
      </c>
      <c r="BH599" s="64">
        <v>0</v>
      </c>
      <c r="BI599" s="64">
        <v>0</v>
      </c>
      <c r="BJ599" s="64">
        <v>114379.29999999999</v>
      </c>
      <c r="BK599" s="64">
        <v>5834.15</v>
      </c>
      <c r="BL599" s="66">
        <v>47149.939266000009</v>
      </c>
    </row>
    <row r="600" spans="1:64" x14ac:dyDescent="0.25">
      <c r="A600" s="141">
        <f t="shared" si="336"/>
        <v>581</v>
      </c>
      <c r="B600" s="142">
        <f t="shared" si="337"/>
        <v>123</v>
      </c>
      <c r="C600" s="62" t="s">
        <v>52</v>
      </c>
      <c r="D600" s="62" t="s">
        <v>1135</v>
      </c>
      <c r="E600" s="123">
        <v>1987</v>
      </c>
      <c r="F600" s="123">
        <v>2010</v>
      </c>
      <c r="G600" s="123" t="s">
        <v>43</v>
      </c>
      <c r="H600" s="123">
        <v>5</v>
      </c>
      <c r="I600" s="123">
        <v>2</v>
      </c>
      <c r="J600" s="64">
        <v>3854.65</v>
      </c>
      <c r="K600" s="64">
        <v>3186.55</v>
      </c>
      <c r="L600" s="64">
        <v>663.3</v>
      </c>
      <c r="M600" s="124">
        <v>157</v>
      </c>
      <c r="N600" s="63">
        <f t="shared" si="388"/>
        <v>2308638.1114466325</v>
      </c>
      <c r="O600" s="64"/>
      <c r="P600" s="65"/>
      <c r="Q600" s="65"/>
      <c r="R600" s="65">
        <f>+'Приложение №2'!E609</f>
        <v>2308638.1114466325</v>
      </c>
      <c r="S600" s="65">
        <f>+'Приложение №2'!E609-'Приложение №1'!R600</f>
        <v>0</v>
      </c>
      <c r="T600" s="65">
        <v>0</v>
      </c>
      <c r="U600" s="65">
        <f t="shared" si="390"/>
        <v>724.49455098668852</v>
      </c>
      <c r="V600" s="65">
        <v>1288.2830200640001</v>
      </c>
      <c r="W600" s="126">
        <v>2024</v>
      </c>
      <c r="X600" s="127" t="e">
        <f>+#REF!-'[1]Приложение №1'!$P1046</f>
        <v>#REF!</v>
      </c>
      <c r="Z600" s="63">
        <f t="shared" si="391"/>
        <v>1607265</v>
      </c>
      <c r="AA600" s="64">
        <v>0</v>
      </c>
      <c r="AB600" s="64">
        <v>0</v>
      </c>
      <c r="AC600" s="64">
        <v>0</v>
      </c>
      <c r="AD600" s="64">
        <v>0</v>
      </c>
      <c r="AE600" s="64">
        <v>1460685.5846520001</v>
      </c>
      <c r="AF600" s="64"/>
      <c r="AG600" s="64">
        <v>0</v>
      </c>
      <c r="AH600" s="64">
        <v>0</v>
      </c>
      <c r="AI600" s="64">
        <v>0</v>
      </c>
      <c r="AJ600" s="64">
        <v>0</v>
      </c>
      <c r="AK600" s="64">
        <v>0</v>
      </c>
      <c r="AL600" s="64">
        <v>0</v>
      </c>
      <c r="AM600" s="64">
        <v>107698.68</v>
      </c>
      <c r="AN600" s="64">
        <v>6938.5</v>
      </c>
      <c r="AO600" s="66">
        <v>31942.235348000006</v>
      </c>
      <c r="AP600" s="128">
        <f>+N600-'Приложение №2'!E609</f>
        <v>0</v>
      </c>
      <c r="AQ600" s="38">
        <v>2581749.19</v>
      </c>
      <c r="AR600" s="25">
        <f t="shared" si="392"/>
        <v>483358.36499999993</v>
      </c>
      <c r="AS600" s="25">
        <f t="shared" si="393"/>
        <v>17059706.999999996</v>
      </c>
      <c r="AT600" s="127">
        <f t="shared" ref="AT600:AT672" si="394">+S600-AS600</f>
        <v>-17059706.999999996</v>
      </c>
      <c r="AU600" s="127">
        <f>+P600-'[6]Приложение №1'!$P571</f>
        <v>0</v>
      </c>
      <c r="AV600" s="127">
        <f>+Q600-'[6]Приложение №1'!$Q571</f>
        <v>0</v>
      </c>
      <c r="AW600" s="88">
        <f t="shared" si="352"/>
        <v>2308638.1114466325</v>
      </c>
      <c r="AX600" s="64">
        <v>0</v>
      </c>
      <c r="AY600" s="64">
        <v>0</v>
      </c>
      <c r="AZ600" s="64">
        <v>0</v>
      </c>
      <c r="BA600" s="64">
        <v>0</v>
      </c>
      <c r="BB600" s="64">
        <v>2147049.3115136744</v>
      </c>
      <c r="BC600" s="64"/>
      <c r="BD600" s="64"/>
      <c r="BE600" s="64">
        <v>0</v>
      </c>
      <c r="BF600" s="64">
        <v>0</v>
      </c>
      <c r="BG600" s="64">
        <v>0</v>
      </c>
      <c r="BH600" s="64">
        <v>0</v>
      </c>
      <c r="BI600" s="64">
        <v>0</v>
      </c>
      <c r="BJ600" s="64">
        <v>107698.68</v>
      </c>
      <c r="BK600" s="64">
        <v>6938.5</v>
      </c>
      <c r="BL600" s="66">
        <v>46951.619932957932</v>
      </c>
    </row>
    <row r="601" spans="1:64" x14ac:dyDescent="0.25">
      <c r="A601" s="141">
        <f t="shared" si="336"/>
        <v>582</v>
      </c>
      <c r="B601" s="142">
        <f t="shared" si="337"/>
        <v>124</v>
      </c>
      <c r="C601" s="62" t="s">
        <v>52</v>
      </c>
      <c r="D601" s="62" t="s">
        <v>392</v>
      </c>
      <c r="E601" s="123">
        <v>1971</v>
      </c>
      <c r="F601" s="123">
        <v>2013</v>
      </c>
      <c r="G601" s="123" t="s">
        <v>43</v>
      </c>
      <c r="H601" s="123">
        <v>4</v>
      </c>
      <c r="I601" s="123">
        <v>3</v>
      </c>
      <c r="J601" s="64">
        <v>2008.51</v>
      </c>
      <c r="K601" s="64">
        <v>1482.45</v>
      </c>
      <c r="L601" s="64">
        <v>500.2</v>
      </c>
      <c r="M601" s="124">
        <v>43</v>
      </c>
      <c r="N601" s="63">
        <f t="shared" si="388"/>
        <v>4800341.7420254378</v>
      </c>
      <c r="O601" s="64"/>
      <c r="P601" s="65"/>
      <c r="Q601" s="65"/>
      <c r="R601" s="65">
        <f t="shared" ref="R601:R607" si="395">+AQ601+AR601</f>
        <v>1677479.585</v>
      </c>
      <c r="S601" s="65">
        <f>+'Приложение №2'!E610-'Приложение №1'!R601</f>
        <v>3122862.1570254378</v>
      </c>
      <c r="T601" s="65">
        <v>0</v>
      </c>
      <c r="U601" s="65">
        <f t="shared" si="390"/>
        <v>3238.1137589972259</v>
      </c>
      <c r="V601" s="65">
        <v>1290.2830200640001</v>
      </c>
      <c r="W601" s="126">
        <v>2024</v>
      </c>
      <c r="X601" s="127" t="e">
        <f>+#REF!-'[1]Приложение №1'!$P1050</f>
        <v>#REF!</v>
      </c>
      <c r="Z601" s="63">
        <f t="shared" si="391"/>
        <v>3401210.6845643353</v>
      </c>
      <c r="AA601" s="64">
        <v>0</v>
      </c>
      <c r="AB601" s="64">
        <v>1379299.4009521424</v>
      </c>
      <c r="AC601" s="64">
        <v>0</v>
      </c>
      <c r="AD601" s="64">
        <v>923467.08456419234</v>
      </c>
      <c r="AE601" s="64">
        <v>677323.96666199993</v>
      </c>
      <c r="AF601" s="64"/>
      <c r="AG601" s="64">
        <v>142086.04594799998</v>
      </c>
      <c r="AH601" s="64">
        <v>0</v>
      </c>
      <c r="AI601" s="64">
        <v>0</v>
      </c>
      <c r="AJ601" s="64">
        <v>0</v>
      </c>
      <c r="AK601" s="64">
        <v>0</v>
      </c>
      <c r="AL601" s="64">
        <v>0</v>
      </c>
      <c r="AM601" s="64">
        <v>164690.01</v>
      </c>
      <c r="AN601" s="64">
        <v>46068.5</v>
      </c>
      <c r="AO601" s="66">
        <v>68275.67643800001</v>
      </c>
      <c r="AP601" s="128">
        <f>+N601-'Приложение №2'!E610</f>
        <v>0</v>
      </c>
      <c r="AQ601" s="38">
        <v>1411566.35</v>
      </c>
      <c r="AR601" s="25">
        <f t="shared" si="392"/>
        <v>265913.23499999999</v>
      </c>
      <c r="AS601" s="25">
        <f t="shared" si="393"/>
        <v>9385173</v>
      </c>
      <c r="AT601" s="127">
        <f t="shared" si="394"/>
        <v>-6262310.8429745622</v>
      </c>
      <c r="AU601" s="127">
        <f>+P601-'[6]Приложение №1'!$P573</f>
        <v>0</v>
      </c>
      <c r="AV601" s="127">
        <f>+Q601-'[6]Приложение №1'!$Q573</f>
        <v>0</v>
      </c>
      <c r="AW601" s="88">
        <f t="shared" si="352"/>
        <v>4800341.7420254378</v>
      </c>
      <c r="AX601" s="64">
        <v>0</v>
      </c>
      <c r="AY601" s="64">
        <v>2484345.941703442</v>
      </c>
      <c r="AZ601" s="64">
        <v>0</v>
      </c>
      <c r="BA601" s="64">
        <v>2073651.4470731926</v>
      </c>
      <c r="BB601" s="64"/>
      <c r="BC601" s="64"/>
      <c r="BD601" s="64"/>
      <c r="BE601" s="64">
        <v>0</v>
      </c>
      <c r="BF601" s="64">
        <v>0</v>
      </c>
      <c r="BG601" s="64">
        <v>0</v>
      </c>
      <c r="BH601" s="64">
        <v>0</v>
      </c>
      <c r="BI601" s="64">
        <v>0</v>
      </c>
      <c r="BJ601" s="64">
        <v>94862.92</v>
      </c>
      <c r="BK601" s="64">
        <v>47941.864855000007</v>
      </c>
      <c r="BL601" s="66">
        <v>99539.568393803012</v>
      </c>
    </row>
    <row r="602" spans="1:64" x14ac:dyDescent="0.25">
      <c r="A602" s="141">
        <f t="shared" si="336"/>
        <v>583</v>
      </c>
      <c r="B602" s="142">
        <f t="shared" si="337"/>
        <v>125</v>
      </c>
      <c r="C602" s="62" t="s">
        <v>52</v>
      </c>
      <c r="D602" s="62" t="s">
        <v>715</v>
      </c>
      <c r="E602" s="123">
        <v>1972</v>
      </c>
      <c r="F602" s="123">
        <v>2013</v>
      </c>
      <c r="G602" s="123" t="s">
        <v>43</v>
      </c>
      <c r="H602" s="123">
        <v>4</v>
      </c>
      <c r="I602" s="123">
        <v>4</v>
      </c>
      <c r="J602" s="64">
        <v>3047.8</v>
      </c>
      <c r="K602" s="64">
        <v>2789.4</v>
      </c>
      <c r="L602" s="64">
        <v>0</v>
      </c>
      <c r="M602" s="124">
        <v>107</v>
      </c>
      <c r="N602" s="95">
        <f t="shared" ref="N602:N603" si="396">+P602+Q602+R602+S602+T602</f>
        <v>21207964.739379063</v>
      </c>
      <c r="O602" s="64"/>
      <c r="P602" s="65">
        <v>346316.57546666998</v>
      </c>
      <c r="Q602" s="65"/>
      <c r="R602" s="65">
        <f t="shared" si="395"/>
        <v>298744.74</v>
      </c>
      <c r="S602" s="65">
        <f>+AS602</f>
        <v>0</v>
      </c>
      <c r="T602" s="65">
        <f>+'Приложение №2'!E611-'Приложение №1'!P602-'Приложение №1'!R602-'Приложение №1'!S602</f>
        <v>20562903.423912395</v>
      </c>
      <c r="U602" s="64">
        <f t="shared" ref="U602:V603" si="397">$N602/($K602+$L602)</f>
        <v>7603.0561193730055</v>
      </c>
      <c r="V602" s="64">
        <f t="shared" si="397"/>
        <v>7603.0561193730055</v>
      </c>
      <c r="W602" s="126">
        <v>2024</v>
      </c>
      <c r="X602" s="127"/>
      <c r="Z602" s="63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  <c r="AN602" s="64"/>
      <c r="AO602" s="66"/>
      <c r="AP602" s="128">
        <f>+N602-'Приложение №2'!E611</f>
        <v>0</v>
      </c>
      <c r="AQ602" s="127">
        <f>1184908.35-361522.2864-R304</f>
        <v>0</v>
      </c>
      <c r="AR602" s="25">
        <f t="shared" si="392"/>
        <v>298744.74</v>
      </c>
      <c r="AT602" s="127">
        <f t="shared" si="394"/>
        <v>0</v>
      </c>
      <c r="AU602" s="127">
        <f>+P602-'[6]Приложение №1'!$P645</f>
        <v>-1574362.0920333299</v>
      </c>
      <c r="AV602" s="127">
        <f>+Q602-'[6]Приложение №1'!$Q390</f>
        <v>0</v>
      </c>
      <c r="AW602" s="63">
        <f t="shared" si="352"/>
        <v>21207964.739379063</v>
      </c>
      <c r="AX602" s="64"/>
      <c r="AY602" s="64"/>
      <c r="AZ602" s="64"/>
      <c r="BA602" s="64"/>
      <c r="BB602" s="64">
        <v>1211587.8700000001</v>
      </c>
      <c r="BC602" s="64"/>
      <c r="BD602" s="64">
        <v>0</v>
      </c>
      <c r="BE602" s="64">
        <v>0</v>
      </c>
      <c r="BF602" s="64"/>
      <c r="BG602" s="64">
        <v>0</v>
      </c>
      <c r="BH602" s="64">
        <v>19140943.211428501</v>
      </c>
      <c r="BI602" s="64"/>
      <c r="BJ602" s="64"/>
      <c r="BK602" s="64"/>
      <c r="BL602" s="66">
        <v>855433.65795056196</v>
      </c>
    </row>
    <row r="603" spans="1:64" x14ac:dyDescent="0.25">
      <c r="A603" s="141">
        <f t="shared" si="336"/>
        <v>584</v>
      </c>
      <c r="B603" s="142">
        <f t="shared" si="337"/>
        <v>126</v>
      </c>
      <c r="C603" s="62" t="s">
        <v>52</v>
      </c>
      <c r="D603" s="62" t="s">
        <v>716</v>
      </c>
      <c r="E603" s="123">
        <v>1974</v>
      </c>
      <c r="F603" s="123">
        <v>2013</v>
      </c>
      <c r="G603" s="123" t="s">
        <v>43</v>
      </c>
      <c r="H603" s="123">
        <v>4</v>
      </c>
      <c r="I603" s="123">
        <v>4</v>
      </c>
      <c r="J603" s="64">
        <v>2989.2</v>
      </c>
      <c r="K603" s="64">
        <v>2536.9</v>
      </c>
      <c r="L603" s="64">
        <v>230.9</v>
      </c>
      <c r="M603" s="124">
        <v>90</v>
      </c>
      <c r="N603" s="95">
        <f t="shared" si="396"/>
        <v>21051010.763601422</v>
      </c>
      <c r="O603" s="64"/>
      <c r="P603" s="65">
        <f>4427463.1917-1684428.35</f>
        <v>2743034.8417000002</v>
      </c>
      <c r="Q603" s="65"/>
      <c r="R603" s="65">
        <f t="shared" si="395"/>
        <v>321160.77</v>
      </c>
      <c r="S603" s="65">
        <f>+AS603</f>
        <v>0</v>
      </c>
      <c r="T603" s="65">
        <f>+'Приложение №2'!E612-'Приложение №1'!P603-'Приложение №1'!R603-'Приложение №1'!S603</f>
        <v>17986815.151901424</v>
      </c>
      <c r="U603" s="64">
        <f t="shared" si="397"/>
        <v>7605.6834899925652</v>
      </c>
      <c r="V603" s="64">
        <f t="shared" si="397"/>
        <v>7605.6834899925652</v>
      </c>
      <c r="W603" s="126">
        <v>2024</v>
      </c>
      <c r="X603" s="127"/>
      <c r="Z603" s="63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  <c r="AN603" s="64"/>
      <c r="AO603" s="66"/>
      <c r="AP603" s="128">
        <f>+N603-'Приложение №2'!E612</f>
        <v>0</v>
      </c>
      <c r="AQ603" s="127">
        <f>1292399.14-848241.5751-R305</f>
        <v>0</v>
      </c>
      <c r="AR603" s="25">
        <f t="shared" si="392"/>
        <v>321160.77</v>
      </c>
      <c r="AT603" s="127">
        <f t="shared" si="394"/>
        <v>0</v>
      </c>
      <c r="AU603" s="127">
        <f>+P603-'[6]Приложение №1'!$P646</f>
        <v>1282509.4517000006</v>
      </c>
      <c r="AV603" s="127">
        <f>+Q603-'[6]Приложение №1'!$Q391</f>
        <v>0</v>
      </c>
      <c r="AW603" s="63">
        <f t="shared" si="352"/>
        <v>21051010.763601422</v>
      </c>
      <c r="AX603" s="64"/>
      <c r="AY603" s="64"/>
      <c r="AZ603" s="64"/>
      <c r="BA603" s="64"/>
      <c r="BB603" s="64">
        <v>1210025.69</v>
      </c>
      <c r="BC603" s="64"/>
      <c r="BD603" s="64">
        <v>0</v>
      </c>
      <c r="BE603" s="64">
        <v>0</v>
      </c>
      <c r="BF603" s="64"/>
      <c r="BG603" s="64">
        <v>0</v>
      </c>
      <c r="BH603" s="64">
        <v>18992723.388754498</v>
      </c>
      <c r="BI603" s="64"/>
      <c r="BJ603" s="64"/>
      <c r="BK603" s="64"/>
      <c r="BL603" s="66">
        <v>848261.6848469231</v>
      </c>
    </row>
    <row r="604" spans="1:64" x14ac:dyDescent="0.25">
      <c r="A604" s="141">
        <f t="shared" si="336"/>
        <v>585</v>
      </c>
      <c r="B604" s="142">
        <f t="shared" si="337"/>
        <v>127</v>
      </c>
      <c r="C604" s="62" t="s">
        <v>52</v>
      </c>
      <c r="D604" s="62" t="s">
        <v>1136</v>
      </c>
      <c r="E604" s="123">
        <v>1973</v>
      </c>
      <c r="F604" s="123">
        <v>2013</v>
      </c>
      <c r="G604" s="123" t="s">
        <v>43</v>
      </c>
      <c r="H604" s="123">
        <v>4</v>
      </c>
      <c r="I604" s="123">
        <v>4</v>
      </c>
      <c r="J604" s="64">
        <v>3935.6</v>
      </c>
      <c r="K604" s="64">
        <v>3459.2</v>
      </c>
      <c r="L604" s="64">
        <v>0</v>
      </c>
      <c r="M604" s="124">
        <v>162</v>
      </c>
      <c r="N604" s="63">
        <f t="shared" si="388"/>
        <v>10469460.771</v>
      </c>
      <c r="O604" s="64"/>
      <c r="P604" s="65"/>
      <c r="Q604" s="65"/>
      <c r="R604" s="65">
        <f t="shared" si="395"/>
        <v>2463595.4899999998</v>
      </c>
      <c r="S604" s="65">
        <f>+'Приложение №2'!E613-'Приложение №1'!R604</f>
        <v>8005865.2809999995</v>
      </c>
      <c r="T604" s="65">
        <v>0</v>
      </c>
      <c r="U604" s="65">
        <f t="shared" si="390"/>
        <v>3026.5554957793711</v>
      </c>
      <c r="V604" s="65">
        <v>1291.2830200640001</v>
      </c>
      <c r="W604" s="126">
        <v>2024</v>
      </c>
      <c r="X604" s="127" t="e">
        <f>+#REF!-'[1]Приложение №1'!$P1455</f>
        <v>#REF!</v>
      </c>
      <c r="Z604" s="63">
        <f t="shared" si="391"/>
        <v>11632734.189999999</v>
      </c>
      <c r="AA604" s="64">
        <v>0</v>
      </c>
      <c r="AB604" s="64">
        <v>0</v>
      </c>
      <c r="AC604" s="64">
        <v>0</v>
      </c>
      <c r="AD604" s="64">
        <v>0</v>
      </c>
      <c r="AE604" s="64">
        <v>0</v>
      </c>
      <c r="AF604" s="64"/>
      <c r="AG604" s="64">
        <v>0</v>
      </c>
      <c r="AH604" s="64">
        <v>0</v>
      </c>
      <c r="AI604" s="64">
        <v>10245414.310500599</v>
      </c>
      <c r="AJ604" s="64">
        <v>0</v>
      </c>
      <c r="AK604" s="64">
        <v>0</v>
      </c>
      <c r="AL604" s="64">
        <v>0</v>
      </c>
      <c r="AM604" s="64">
        <v>1046946.0770999999</v>
      </c>
      <c r="AN604" s="65">
        <v>116327.3419</v>
      </c>
      <c r="AO604" s="66">
        <v>224046.46049940001</v>
      </c>
      <c r="AP604" s="128">
        <f>+N604-'Приложение №2'!E613</f>
        <v>0</v>
      </c>
      <c r="AQ604" s="38">
        <v>2093115.17</v>
      </c>
      <c r="AR604" s="25">
        <f t="shared" si="392"/>
        <v>370480.31999999995</v>
      </c>
      <c r="AS604" s="25">
        <f t="shared" si="393"/>
        <v>13075775.999999998</v>
      </c>
      <c r="AT604" s="127">
        <f t="shared" si="394"/>
        <v>-5069910.7189999986</v>
      </c>
      <c r="AU604" s="127">
        <f>+P604-'[6]Приложение №1'!$P574</f>
        <v>0</v>
      </c>
      <c r="AV604" s="127">
        <f>+Q604-'[6]Приложение №1'!$Q574</f>
        <v>0</v>
      </c>
      <c r="AW604" s="88">
        <f t="shared" si="352"/>
        <v>10469460.771</v>
      </c>
      <c r="AX604" s="64">
        <v>0</v>
      </c>
      <c r="AY604" s="64">
        <v>0</v>
      </c>
      <c r="AZ604" s="64">
        <v>0</v>
      </c>
      <c r="BA604" s="64">
        <v>0</v>
      </c>
      <c r="BB604" s="64">
        <v>0</v>
      </c>
      <c r="BC604" s="64"/>
      <c r="BD604" s="64"/>
      <c r="BE604" s="64">
        <v>0</v>
      </c>
      <c r="BF604" s="64">
        <v>10245414.310500599</v>
      </c>
      <c r="BG604" s="64">
        <v>0</v>
      </c>
      <c r="BH604" s="64">
        <v>0</v>
      </c>
      <c r="BI604" s="64">
        <v>0</v>
      </c>
      <c r="BJ604" s="64"/>
      <c r="BK604" s="65"/>
      <c r="BL604" s="66">
        <v>224046.46049940001</v>
      </c>
    </row>
    <row r="605" spans="1:64" x14ac:dyDescent="0.25">
      <c r="A605" s="141">
        <f t="shared" si="336"/>
        <v>586</v>
      </c>
      <c r="B605" s="142">
        <f t="shared" si="337"/>
        <v>128</v>
      </c>
      <c r="C605" s="62" t="s">
        <v>52</v>
      </c>
      <c r="D605" s="62" t="s">
        <v>1137</v>
      </c>
      <c r="E605" s="123">
        <v>1990</v>
      </c>
      <c r="F605" s="123">
        <v>2013</v>
      </c>
      <c r="G605" s="123" t="s">
        <v>43</v>
      </c>
      <c r="H605" s="123">
        <v>9</v>
      </c>
      <c r="I605" s="123">
        <v>4</v>
      </c>
      <c r="J605" s="64">
        <v>10682.7</v>
      </c>
      <c r="K605" s="64">
        <v>8792</v>
      </c>
      <c r="L605" s="64">
        <v>69.3</v>
      </c>
      <c r="M605" s="124">
        <v>381</v>
      </c>
      <c r="N605" s="63">
        <f t="shared" si="388"/>
        <v>35602243.248959854</v>
      </c>
      <c r="O605" s="64"/>
      <c r="P605" s="65"/>
      <c r="Q605" s="65"/>
      <c r="R605" s="65">
        <f t="shared" si="395"/>
        <v>4436688.2889999999</v>
      </c>
      <c r="S605" s="65">
        <f>+'Приложение №2'!E614-'Приложение №1'!R605</f>
        <v>31165554.959959853</v>
      </c>
      <c r="T605" s="65">
        <v>0</v>
      </c>
      <c r="U605" s="65">
        <f t="shared" si="390"/>
        <v>4049.390724403987</v>
      </c>
      <c r="V605" s="65">
        <v>1293.2830200640001</v>
      </c>
      <c r="W605" s="126">
        <v>2024</v>
      </c>
      <c r="X605" s="127" t="e">
        <f>+#REF!-'[1]Приложение №1'!$P1060</f>
        <v>#REF!</v>
      </c>
      <c r="Z605" s="63">
        <f t="shared" si="391"/>
        <v>38109556.814410999</v>
      </c>
      <c r="AA605" s="64">
        <v>12649079.980151162</v>
      </c>
      <c r="AB605" s="64">
        <v>6869704.5973592401</v>
      </c>
      <c r="AC605" s="64">
        <v>8171118.1097511007</v>
      </c>
      <c r="AD605" s="64">
        <v>3937651.5042933603</v>
      </c>
      <c r="AE605" s="64">
        <v>0</v>
      </c>
      <c r="AF605" s="64"/>
      <c r="AG605" s="64">
        <v>952026.39550956013</v>
      </c>
      <c r="AH605" s="64">
        <v>0</v>
      </c>
      <c r="AI605" s="64"/>
      <c r="AJ605" s="64">
        <v>0</v>
      </c>
      <c r="AK605" s="64">
        <v>0</v>
      </c>
      <c r="AL605" s="64">
        <v>0</v>
      </c>
      <c r="AM605" s="64">
        <v>4209405.1087999996</v>
      </c>
      <c r="AN605" s="65">
        <v>452335.14650000009</v>
      </c>
      <c r="AO605" s="66">
        <v>868235.97204658017</v>
      </c>
      <c r="AP605" s="128">
        <f>+N605-'Приложение №2'!E614</f>
        <v>0</v>
      </c>
      <c r="AQ605" s="23">
        <f>6652820.84-3483863.47</f>
        <v>3168957.3699999996</v>
      </c>
      <c r="AR605" s="25">
        <f t="shared" ref="AR605:AR610" si="398">+(K605*13.95+L605*23.65)*12*0.85</f>
        <v>1267730.919</v>
      </c>
      <c r="AS605" s="25">
        <f>+(K605*13.95+L605*23.65)*12*30-447549.13</f>
        <v>44295895.07</v>
      </c>
      <c r="AT605" s="127">
        <f t="shared" si="394"/>
        <v>-13130340.110040147</v>
      </c>
      <c r="AU605" s="127">
        <f>+P605-'[6]Приложение №1'!$P576</f>
        <v>0</v>
      </c>
      <c r="AV605" s="127">
        <f>+Q605-'[6]Приложение №1'!$Q576</f>
        <v>0</v>
      </c>
      <c r="AW605" s="88">
        <f t="shared" si="352"/>
        <v>35602243.248959854</v>
      </c>
      <c r="AX605" s="64">
        <v>14803506.67</v>
      </c>
      <c r="AY605" s="64">
        <v>6869704.5973592401</v>
      </c>
      <c r="AZ605" s="64">
        <v>8171118.1097511007</v>
      </c>
      <c r="BA605" s="64">
        <v>3937651.5042933603</v>
      </c>
      <c r="BB605" s="64">
        <v>0</v>
      </c>
      <c r="BC605" s="64"/>
      <c r="BD605" s="64">
        <v>952026.39550956013</v>
      </c>
      <c r="BE605" s="64">
        <v>0</v>
      </c>
      <c r="BF605" s="64"/>
      <c r="BG605" s="64">
        <v>0</v>
      </c>
      <c r="BH605" s="64">
        <v>0</v>
      </c>
      <c r="BI605" s="64">
        <v>0</v>
      </c>
      <c r="BJ605" s="64"/>
      <c r="BK605" s="65"/>
      <c r="BL605" s="66">
        <v>868235.97204658017</v>
      </c>
    </row>
    <row r="606" spans="1:64" x14ac:dyDescent="0.25">
      <c r="A606" s="141">
        <f t="shared" si="336"/>
        <v>587</v>
      </c>
      <c r="B606" s="142">
        <f t="shared" si="337"/>
        <v>129</v>
      </c>
      <c r="C606" s="62" t="s">
        <v>52</v>
      </c>
      <c r="D606" s="62" t="s">
        <v>1084</v>
      </c>
      <c r="E606" s="123">
        <v>1994</v>
      </c>
      <c r="F606" s="123">
        <v>2013</v>
      </c>
      <c r="G606" s="123" t="s">
        <v>43</v>
      </c>
      <c r="H606" s="123">
        <v>9</v>
      </c>
      <c r="I606" s="123">
        <v>3</v>
      </c>
      <c r="J606" s="64">
        <v>8919.33</v>
      </c>
      <c r="K606" s="64">
        <v>6658.4</v>
      </c>
      <c r="L606" s="64">
        <v>0</v>
      </c>
      <c r="M606" s="124">
        <v>285</v>
      </c>
      <c r="N606" s="63">
        <f t="shared" si="388"/>
        <v>5466840.3476459011</v>
      </c>
      <c r="O606" s="64"/>
      <c r="P606" s="65"/>
      <c r="Q606" s="65"/>
      <c r="R606" s="65">
        <f t="shared" si="395"/>
        <v>0</v>
      </c>
      <c r="S606" s="65">
        <f>+'Приложение №2'!E615</f>
        <v>5466840.3476459002</v>
      </c>
      <c r="T606" s="65">
        <v>4.6566128730773926E-10</v>
      </c>
      <c r="U606" s="65">
        <f t="shared" si="390"/>
        <v>821.04414688902762</v>
      </c>
      <c r="V606" s="65">
        <v>1294.2830200640001</v>
      </c>
      <c r="W606" s="126">
        <v>2024</v>
      </c>
      <c r="X606" s="127" t="e">
        <f>+#REF!-'[1]Приложение №1'!$P1061</f>
        <v>#REF!</v>
      </c>
      <c r="Z606" s="63">
        <f t="shared" si="391"/>
        <v>14135263.039999999</v>
      </c>
      <c r="AA606" s="64">
        <v>0</v>
      </c>
      <c r="AB606" s="64">
        <v>0</v>
      </c>
      <c r="AC606" s="64">
        <v>0</v>
      </c>
      <c r="AD606" s="64">
        <v>0</v>
      </c>
      <c r="AE606" s="64">
        <v>0</v>
      </c>
      <c r="AF606" s="64"/>
      <c r="AG606" s="64">
        <v>0</v>
      </c>
      <c r="AH606" s="64">
        <v>0</v>
      </c>
      <c r="AI606" s="64">
        <v>0</v>
      </c>
      <c r="AJ606" s="64">
        <v>0</v>
      </c>
      <c r="AK606" s="64">
        <v>0</v>
      </c>
      <c r="AL606" s="64">
        <v>13564306.146929998</v>
      </c>
      <c r="AM606" s="64">
        <v>193212.03</v>
      </c>
      <c r="AN606" s="64">
        <v>81120.959999999992</v>
      </c>
      <c r="AO606" s="66">
        <v>296623.90307</v>
      </c>
      <c r="AP606" s="128">
        <f>+N606-'Приложение №2'!E615</f>
        <v>0</v>
      </c>
      <c r="AQ606" s="127">
        <f>5247070.49-1910372.27-713296.71-R309</f>
        <v>-947423.73600000003</v>
      </c>
      <c r="AR606" s="25">
        <f t="shared" si="398"/>
        <v>947423.73599999992</v>
      </c>
      <c r="AS606" s="25">
        <f>+(K606*13.95+L606*23.65)*12*30-3114194.79-7865381.35-93203.45-S309</f>
        <v>9687023.5614240989</v>
      </c>
      <c r="AT606" s="127">
        <f t="shared" si="394"/>
        <v>-4220183.2137781987</v>
      </c>
      <c r="AU606" s="127">
        <f>+P606-'[6]Приложение №1'!$P577</f>
        <v>0</v>
      </c>
      <c r="AV606" s="127">
        <f>+Q606-'[6]Приложение №1'!$Q577</f>
        <v>0</v>
      </c>
      <c r="AW606" s="88">
        <f t="shared" si="352"/>
        <v>5466840.3476459002</v>
      </c>
      <c r="AX606" s="64">
        <v>0</v>
      </c>
      <c r="AY606" s="64">
        <v>0</v>
      </c>
      <c r="AZ606" s="64">
        <v>0</v>
      </c>
      <c r="BA606" s="64">
        <v>0</v>
      </c>
      <c r="BB606" s="64">
        <v>2781639.6</v>
      </c>
      <c r="BC606" s="64"/>
      <c r="BD606" s="64"/>
      <c r="BE606" s="64">
        <v>0</v>
      </c>
      <c r="BF606" s="64">
        <v>0</v>
      </c>
      <c r="BG606" s="64">
        <v>0</v>
      </c>
      <c r="BH606" s="64">
        <v>0</v>
      </c>
      <c r="BI606" s="64"/>
      <c r="BJ606" s="64">
        <v>2208962.0269999998</v>
      </c>
      <c r="BK606" s="64">
        <v>167867.1545</v>
      </c>
      <c r="BL606" s="66">
        <v>308371.56614590005</v>
      </c>
    </row>
    <row r="607" spans="1:64" x14ac:dyDescent="0.25">
      <c r="A607" s="141">
        <f t="shared" si="336"/>
        <v>588</v>
      </c>
      <c r="B607" s="142">
        <f t="shared" si="337"/>
        <v>130</v>
      </c>
      <c r="C607" s="62" t="s">
        <v>52</v>
      </c>
      <c r="D607" s="62" t="s">
        <v>754</v>
      </c>
      <c r="E607" s="123">
        <v>1999</v>
      </c>
      <c r="F607" s="123">
        <v>1999</v>
      </c>
      <c r="G607" s="123" t="s">
        <v>43</v>
      </c>
      <c r="H607" s="123">
        <v>9</v>
      </c>
      <c r="I607" s="123">
        <v>1</v>
      </c>
      <c r="J607" s="64">
        <v>2462.15</v>
      </c>
      <c r="K607" s="64">
        <v>2301</v>
      </c>
      <c r="L607" s="64">
        <v>0</v>
      </c>
      <c r="M607" s="124">
        <v>79</v>
      </c>
      <c r="N607" s="63">
        <f t="shared" si="388"/>
        <v>4271050</v>
      </c>
      <c r="O607" s="64"/>
      <c r="P607" s="65"/>
      <c r="Q607" s="65"/>
      <c r="R607" s="65">
        <f t="shared" si="395"/>
        <v>2055860.49</v>
      </c>
      <c r="S607" s="65">
        <f>+'Приложение №2'!E616-'Приложение №1'!R607</f>
        <v>2215189.5099999998</v>
      </c>
      <c r="T607" s="65">
        <v>0</v>
      </c>
      <c r="U607" s="65">
        <f t="shared" si="390"/>
        <v>1856.1712299000435</v>
      </c>
      <c r="V607" s="65">
        <v>1295.2830200640001</v>
      </c>
      <c r="W607" s="126">
        <v>2024</v>
      </c>
      <c r="X607" s="127"/>
      <c r="Z607" s="63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  <c r="AN607" s="65"/>
      <c r="AO607" s="66"/>
      <c r="AP607" s="128">
        <f>+N607-'Приложение №2'!E616</f>
        <v>0</v>
      </c>
      <c r="AQ607" s="38">
        <v>1728451.2</v>
      </c>
      <c r="AR607" s="25">
        <f t="shared" si="398"/>
        <v>327409.28999999998</v>
      </c>
      <c r="AS607" s="25">
        <f>+(K607*13.95+L607*23.65)*12*30</f>
        <v>11555621.999999998</v>
      </c>
      <c r="AT607" s="127">
        <f t="shared" si="394"/>
        <v>-9340432.4899999984</v>
      </c>
      <c r="AU607" s="127">
        <f>+P607-'[6]Приложение №1'!$P578</f>
        <v>0</v>
      </c>
      <c r="AV607" s="127">
        <f>+Q607-'[6]Приложение №1'!$Q578</f>
        <v>0</v>
      </c>
      <c r="AW607" s="88">
        <f t="shared" si="352"/>
        <v>4271050</v>
      </c>
      <c r="AX607" s="64"/>
      <c r="AY607" s="64"/>
      <c r="AZ607" s="64"/>
      <c r="BA607" s="64"/>
      <c r="BB607" s="64"/>
      <c r="BC607" s="64"/>
      <c r="BD607" s="64"/>
      <c r="BE607" s="64">
        <v>4012463.5488</v>
      </c>
      <c r="BF607" s="64"/>
      <c r="BG607" s="64"/>
      <c r="BH607" s="64"/>
      <c r="BI607" s="64"/>
      <c r="BJ607" s="64">
        <v>128131.5</v>
      </c>
      <c r="BK607" s="65">
        <v>42710.5</v>
      </c>
      <c r="BL607" s="66">
        <v>87744.45120000001</v>
      </c>
    </row>
    <row r="608" spans="1:64" s="74" customFormat="1" x14ac:dyDescent="0.25">
      <c r="A608" s="141">
        <f t="shared" ref="A608:A671" si="399">+A607+1</f>
        <v>589</v>
      </c>
      <c r="B608" s="142">
        <f t="shared" ref="B608:B671" si="400">+B607+1</f>
        <v>131</v>
      </c>
      <c r="C608" s="62" t="s">
        <v>52</v>
      </c>
      <c r="D608" s="62" t="s">
        <v>755</v>
      </c>
      <c r="E608" s="123" t="s">
        <v>119</v>
      </c>
      <c r="F608" s="123"/>
      <c r="G608" s="123" t="s">
        <v>43</v>
      </c>
      <c r="H608" s="123" t="s">
        <v>97</v>
      </c>
      <c r="I608" s="123" t="s">
        <v>102</v>
      </c>
      <c r="J608" s="64">
        <v>5386.8</v>
      </c>
      <c r="K608" s="64">
        <v>4410.8999999999996</v>
      </c>
      <c r="L608" s="64">
        <v>0</v>
      </c>
      <c r="M608" s="124">
        <v>267</v>
      </c>
      <c r="N608" s="63">
        <f t="shared" si="388"/>
        <v>1824742.7145551336</v>
      </c>
      <c r="O608" s="64">
        <v>0</v>
      </c>
      <c r="P608" s="65"/>
      <c r="Q608" s="65">
        <v>0</v>
      </c>
      <c r="R608" s="65">
        <f>+'Приложение №2'!E617</f>
        <v>1824742.7145551336</v>
      </c>
      <c r="S608" s="65">
        <f>+'Приложение №2'!E617-'Приложение №1'!R608</f>
        <v>0</v>
      </c>
      <c r="T608" s="65">
        <v>0</v>
      </c>
      <c r="U608" s="65">
        <f t="shared" si="390"/>
        <v>413.68943176112214</v>
      </c>
      <c r="V608" s="65">
        <v>1296.2830200640001</v>
      </c>
      <c r="W608" s="126">
        <v>2024</v>
      </c>
      <c r="X608" s="74">
        <v>1654219.33</v>
      </c>
      <c r="Y608" s="74">
        <f>+(K608*12.08+L608*20.47)*12</f>
        <v>639404.06400000001</v>
      </c>
      <c r="AA608" s="129">
        <f>+N608-'[5]Приложение № 2'!E544</f>
        <v>1001706.4239487336</v>
      </c>
      <c r="AD608" s="129">
        <f>+N608-'[5]Приложение № 2'!E544</f>
        <v>1001706.4239487336</v>
      </c>
      <c r="AP608" s="128">
        <f>+N608-'Приложение №2'!E617</f>
        <v>0</v>
      </c>
      <c r="AQ608" s="38">
        <v>3043518.91</v>
      </c>
      <c r="AR608" s="25">
        <f t="shared" si="398"/>
        <v>627626.96099999989</v>
      </c>
      <c r="AS608" s="25">
        <f>+(K608*13.95+L608*23.65)*12*30</f>
        <v>22151539.799999997</v>
      </c>
      <c r="AT608" s="127">
        <f t="shared" si="394"/>
        <v>-22151539.799999997</v>
      </c>
      <c r="AU608" s="127">
        <f>+P608-'[6]Приложение №1'!$P579</f>
        <v>0</v>
      </c>
      <c r="AV608" s="127">
        <f>+Q608-'[6]Приложение №1'!$Q579</f>
        <v>0</v>
      </c>
      <c r="AW608" s="88">
        <f t="shared" si="352"/>
        <v>1824742.7145551336</v>
      </c>
      <c r="AX608" s="64"/>
      <c r="AY608" s="64"/>
      <c r="AZ608" s="64"/>
      <c r="BA608" s="64"/>
      <c r="BB608" s="64">
        <v>1410134.8415756538</v>
      </c>
      <c r="BC608" s="64"/>
      <c r="BD608" s="64"/>
      <c r="BE608" s="64"/>
      <c r="BF608" s="64"/>
      <c r="BG608" s="64"/>
      <c r="BH608" s="64"/>
      <c r="BI608" s="64"/>
      <c r="BJ608" s="64">
        <v>383771.07999999996</v>
      </c>
      <c r="BK608" s="65"/>
      <c r="BL608" s="66">
        <v>30836.792979479862</v>
      </c>
    </row>
    <row r="609" spans="1:64" s="74" customFormat="1" x14ac:dyDescent="0.25">
      <c r="A609" s="141">
        <f t="shared" si="399"/>
        <v>590</v>
      </c>
      <c r="B609" s="142">
        <f t="shared" si="400"/>
        <v>132</v>
      </c>
      <c r="C609" s="62" t="s">
        <v>52</v>
      </c>
      <c r="D609" s="62" t="s">
        <v>756</v>
      </c>
      <c r="E609" s="123" t="s">
        <v>120</v>
      </c>
      <c r="F609" s="123"/>
      <c r="G609" s="123" t="s">
        <v>43</v>
      </c>
      <c r="H609" s="123" t="s">
        <v>97</v>
      </c>
      <c r="I609" s="123" t="s">
        <v>102</v>
      </c>
      <c r="J609" s="64">
        <v>5259.4</v>
      </c>
      <c r="K609" s="64">
        <v>4259.8</v>
      </c>
      <c r="L609" s="64">
        <v>65.2</v>
      </c>
      <c r="M609" s="124">
        <v>245</v>
      </c>
      <c r="N609" s="63">
        <f t="shared" si="388"/>
        <v>1795945.4259955909</v>
      </c>
      <c r="O609" s="64">
        <v>0</v>
      </c>
      <c r="P609" s="65"/>
      <c r="Q609" s="65">
        <v>0</v>
      </c>
      <c r="R609" s="65">
        <f>+'Приложение №2'!E618</f>
        <v>1795945.4259955909</v>
      </c>
      <c r="S609" s="65">
        <f>+'Приложение №2'!E618-'Приложение №1'!R609</f>
        <v>0</v>
      </c>
      <c r="T609" s="65">
        <v>0</v>
      </c>
      <c r="U609" s="65">
        <f t="shared" si="390"/>
        <v>421.60322691102652</v>
      </c>
      <c r="V609" s="65">
        <v>1297.2830200640001</v>
      </c>
      <c r="W609" s="126">
        <v>2024</v>
      </c>
      <c r="X609" s="74">
        <v>1762729.2</v>
      </c>
      <c r="Y609" s="74">
        <f>+(K609*12.08+L609*20.47)*12</f>
        <v>633516.33600000013</v>
      </c>
      <c r="AA609" s="129">
        <f>+N609-'[5]Приложение № 2'!E545</f>
        <v>971412.16642119095</v>
      </c>
      <c r="AD609" s="129">
        <f>+N609-'[5]Приложение № 2'!E545</f>
        <v>971412.16642119095</v>
      </c>
      <c r="AP609" s="128">
        <f>+N609-'Приложение №2'!E618</f>
        <v>0</v>
      </c>
      <c r="AQ609" s="38">
        <v>2987606.71</v>
      </c>
      <c r="AR609" s="25">
        <f t="shared" si="398"/>
        <v>621855.13800000004</v>
      </c>
      <c r="AS609" s="25">
        <f>+(K609*13.95+L609*23.65)*12*30</f>
        <v>21947828.400000002</v>
      </c>
      <c r="AT609" s="127">
        <f t="shared" si="394"/>
        <v>-21947828.400000002</v>
      </c>
      <c r="AU609" s="127">
        <f>+P609-'[6]Приложение №1'!$P580</f>
        <v>0</v>
      </c>
      <c r="AV609" s="127">
        <f>+Q609-'[6]Приложение №1'!$Q580</f>
        <v>0</v>
      </c>
      <c r="AW609" s="88">
        <f t="shared" si="352"/>
        <v>1795945.4259955909</v>
      </c>
      <c r="AX609" s="64"/>
      <c r="AY609" s="64"/>
      <c r="AZ609" s="64"/>
      <c r="BA609" s="64"/>
      <c r="BB609" s="64">
        <v>1382673.1936372851</v>
      </c>
      <c r="BC609" s="64"/>
      <c r="BD609" s="64"/>
      <c r="BE609" s="64"/>
      <c r="BF609" s="64"/>
      <c r="BG609" s="64"/>
      <c r="BH609" s="64"/>
      <c r="BI609" s="64"/>
      <c r="BJ609" s="64">
        <v>383035.97</v>
      </c>
      <c r="BK609" s="65"/>
      <c r="BL609" s="66">
        <v>30236.262358305645</v>
      </c>
    </row>
    <row r="610" spans="1:64" s="74" customFormat="1" x14ac:dyDescent="0.25">
      <c r="A610" s="141">
        <f t="shared" si="399"/>
        <v>591</v>
      </c>
      <c r="B610" s="142">
        <f t="shared" si="400"/>
        <v>133</v>
      </c>
      <c r="C610" s="62" t="s">
        <v>52</v>
      </c>
      <c r="D610" s="62" t="s">
        <v>757</v>
      </c>
      <c r="E610" s="123" t="s">
        <v>120</v>
      </c>
      <c r="F610" s="123"/>
      <c r="G610" s="123" t="s">
        <v>43</v>
      </c>
      <c r="H610" s="123" t="s">
        <v>97</v>
      </c>
      <c r="I610" s="123" t="s">
        <v>102</v>
      </c>
      <c r="J610" s="64">
        <v>5408.1</v>
      </c>
      <c r="K610" s="64">
        <v>4395.54</v>
      </c>
      <c r="L610" s="64">
        <v>0</v>
      </c>
      <c r="M610" s="124">
        <v>222</v>
      </c>
      <c r="N610" s="63">
        <f t="shared" si="388"/>
        <v>1819678.2242096788</v>
      </c>
      <c r="O610" s="64">
        <v>0</v>
      </c>
      <c r="P610" s="65"/>
      <c r="Q610" s="65">
        <v>0</v>
      </c>
      <c r="R610" s="65">
        <f>+'Приложение №2'!E619</f>
        <v>1819678.2242096788</v>
      </c>
      <c r="S610" s="65">
        <f>+'Приложение №2'!E619-'Приложение №1'!R610</f>
        <v>0</v>
      </c>
      <c r="T610" s="65">
        <v>0</v>
      </c>
      <c r="U610" s="65">
        <f t="shared" si="390"/>
        <v>413.98286085661351</v>
      </c>
      <c r="V610" s="65">
        <v>1298.2830200640001</v>
      </c>
      <c r="W610" s="126">
        <v>2024</v>
      </c>
      <c r="X610" s="74">
        <v>1466483.92</v>
      </c>
      <c r="Y610" s="74">
        <f>+(K610*12.08+L610*20.47)*12</f>
        <v>637177.47840000002</v>
      </c>
      <c r="AA610" s="129">
        <f>+N610-'[5]Приложение № 2'!E546</f>
        <v>994546.1710480788</v>
      </c>
      <c r="AD610" s="129">
        <f>+N610-'[5]Приложение № 2'!E546</f>
        <v>994546.1710480788</v>
      </c>
      <c r="AP610" s="128">
        <f>+N610-'Приложение №2'!E619</f>
        <v>0</v>
      </c>
      <c r="AQ610" s="38">
        <v>2813394.45</v>
      </c>
      <c r="AR610" s="25">
        <f t="shared" si="398"/>
        <v>625441.38659999997</v>
      </c>
      <c r="AS610" s="25">
        <f>+(K610*13.95+L610*23.65)*12*30</f>
        <v>22074401.879999999</v>
      </c>
      <c r="AT610" s="127">
        <f t="shared" si="394"/>
        <v>-22074401.879999999</v>
      </c>
      <c r="AU610" s="127">
        <f>+P610-'[6]Приложение №1'!$P581</f>
        <v>0</v>
      </c>
      <c r="AV610" s="127">
        <f>+Q610-'[6]Приложение №1'!$Q581</f>
        <v>0</v>
      </c>
      <c r="AW610" s="88">
        <f t="shared" si="352"/>
        <v>1819678.2242096788</v>
      </c>
      <c r="AX610" s="64"/>
      <c r="AY610" s="64"/>
      <c r="AZ610" s="64"/>
      <c r="BA610" s="64"/>
      <c r="BB610" s="64">
        <v>1405224.3536555918</v>
      </c>
      <c r="BC610" s="64"/>
      <c r="BD610" s="64"/>
      <c r="BE610" s="64"/>
      <c r="BF610" s="64"/>
      <c r="BG610" s="64"/>
      <c r="BH610" s="64"/>
      <c r="BI610" s="64"/>
      <c r="BJ610" s="64">
        <v>383724.45999999996</v>
      </c>
      <c r="BK610" s="65"/>
      <c r="BL610" s="66">
        <v>30729.410554087128</v>
      </c>
    </row>
    <row r="611" spans="1:64" x14ac:dyDescent="0.25">
      <c r="A611" s="141">
        <f t="shared" si="399"/>
        <v>592</v>
      </c>
      <c r="B611" s="142">
        <f t="shared" si="400"/>
        <v>134</v>
      </c>
      <c r="C611" s="62" t="s">
        <v>52</v>
      </c>
      <c r="D611" s="62" t="s">
        <v>719</v>
      </c>
      <c r="E611" s="123">
        <v>1974</v>
      </c>
      <c r="F611" s="123">
        <v>2013</v>
      </c>
      <c r="G611" s="123" t="s">
        <v>43</v>
      </c>
      <c r="H611" s="123">
        <v>4</v>
      </c>
      <c r="I611" s="123">
        <v>8</v>
      </c>
      <c r="J611" s="64">
        <v>5449.8</v>
      </c>
      <c r="K611" s="64">
        <v>4938.7</v>
      </c>
      <c r="L611" s="64">
        <v>0</v>
      </c>
      <c r="M611" s="124">
        <v>207</v>
      </c>
      <c r="N611" s="95">
        <f t="shared" ref="N611:N613" si="401">+P611+Q611+R611+S611+T611</f>
        <v>3985880.4568241001</v>
      </c>
      <c r="O611" s="64"/>
      <c r="P611" s="65"/>
      <c r="Q611" s="65"/>
      <c r="R611" s="65">
        <f t="shared" ref="R611:S613" si="402">+AR611</f>
        <v>503747.39999999997</v>
      </c>
      <c r="S611" s="65">
        <f t="shared" si="402"/>
        <v>0</v>
      </c>
      <c r="T611" s="65">
        <f>+'Приложение №2'!E620-'Приложение №1'!P611-'Приложение №1'!R611-'Приложение №1'!S611</f>
        <v>3482133.0568241002</v>
      </c>
      <c r="U611" s="64">
        <f t="shared" ref="U611:V617" si="403">$N611/($K611+$L611)</f>
        <v>807.07077911679187</v>
      </c>
      <c r="V611" s="64">
        <f t="shared" si="403"/>
        <v>807.07077911679187</v>
      </c>
      <c r="W611" s="126">
        <v>2024</v>
      </c>
      <c r="X611" s="127" t="e">
        <f>+#REF!-'[1]Приложение №1'!$P1428</f>
        <v>#REF!</v>
      </c>
      <c r="Z611" s="63">
        <f t="shared" ref="Z611:Z613" si="404">SUM(AA611:AO611)</f>
        <v>29390081.470000003</v>
      </c>
      <c r="AA611" s="64">
        <v>11814199.4679345</v>
      </c>
      <c r="AB611" s="64">
        <v>4209884.9643870592</v>
      </c>
      <c r="AC611" s="64">
        <v>4398393.0636496209</v>
      </c>
      <c r="AD611" s="64">
        <v>2753672.1595983598</v>
      </c>
      <c r="AE611" s="64">
        <v>1684797.1438548602</v>
      </c>
      <c r="AF611" s="64"/>
      <c r="AG611" s="64">
        <v>453343.1808108</v>
      </c>
      <c r="AH611" s="64">
        <v>0</v>
      </c>
      <c r="AI611" s="64">
        <v>0</v>
      </c>
      <c r="AJ611" s="64">
        <v>0</v>
      </c>
      <c r="AK611" s="64">
        <v>0</v>
      </c>
      <c r="AL611" s="64">
        <v>0</v>
      </c>
      <c r="AM611" s="64">
        <v>3228318.4233000004</v>
      </c>
      <c r="AN611" s="65">
        <v>293900.81470000005</v>
      </c>
      <c r="AO611" s="66">
        <v>553572.25176480005</v>
      </c>
      <c r="AP611" s="128">
        <f>+N611-'Приложение №2'!E620</f>
        <v>0</v>
      </c>
      <c r="AQ611" s="127">
        <f>2310610.73-R311</f>
        <v>-503747.39999999991</v>
      </c>
      <c r="AR611" s="25">
        <f t="shared" ref="AR611:AR613" si="405">+(K611*10+L611*20)*12*0.85</f>
        <v>503747.39999999997</v>
      </c>
      <c r="AS611" s="25">
        <f>+(K611*10+L611*20)*12*30-S311</f>
        <v>0</v>
      </c>
      <c r="AT611" s="127">
        <f t="shared" si="394"/>
        <v>0</v>
      </c>
      <c r="AU611" s="127">
        <f>+P611-'[6]Приложение №1'!$P652</f>
        <v>-2546073</v>
      </c>
      <c r="AV611" s="127">
        <f>+Q611-'[6]Приложение №1'!$Q397</f>
        <v>0</v>
      </c>
      <c r="AW611" s="63">
        <f t="shared" si="352"/>
        <v>3985880.4568241001</v>
      </c>
      <c r="AX611" s="64"/>
      <c r="AY611" s="64"/>
      <c r="AZ611" s="64"/>
      <c r="BA611" s="64"/>
      <c r="BB611" s="64">
        <v>2298156.84</v>
      </c>
      <c r="BC611" s="64"/>
      <c r="BD611" s="64"/>
      <c r="BE611" s="64"/>
      <c r="BF611" s="64"/>
      <c r="BG611" s="64"/>
      <c r="BH611" s="64"/>
      <c r="BI611" s="64"/>
      <c r="BJ611" s="64"/>
      <c r="BK611" s="65"/>
      <c r="BL611" s="66">
        <v>1687723.6168241003</v>
      </c>
    </row>
    <row r="612" spans="1:64" x14ac:dyDescent="0.25">
      <c r="A612" s="141">
        <f t="shared" si="399"/>
        <v>593</v>
      </c>
      <c r="B612" s="142">
        <f t="shared" si="400"/>
        <v>135</v>
      </c>
      <c r="C612" s="62" t="s">
        <v>52</v>
      </c>
      <c r="D612" s="62" t="s">
        <v>1086</v>
      </c>
      <c r="E612" s="123">
        <v>1976</v>
      </c>
      <c r="F612" s="123">
        <v>2013</v>
      </c>
      <c r="G612" s="123" t="s">
        <v>43</v>
      </c>
      <c r="H612" s="123">
        <v>5</v>
      </c>
      <c r="I612" s="123">
        <v>4</v>
      </c>
      <c r="J612" s="64">
        <v>3698.5</v>
      </c>
      <c r="K612" s="64">
        <v>3331.4</v>
      </c>
      <c r="L612" s="64">
        <v>142.19999999999999</v>
      </c>
      <c r="M612" s="124">
        <v>143</v>
      </c>
      <c r="N612" s="95">
        <f t="shared" si="401"/>
        <v>18450460.628801689</v>
      </c>
      <c r="O612" s="64"/>
      <c r="P612" s="65">
        <v>2008108.1622212788</v>
      </c>
      <c r="Q612" s="65"/>
      <c r="R612" s="65">
        <f t="shared" si="402"/>
        <v>368811.6</v>
      </c>
      <c r="S612" s="65">
        <f t="shared" si="402"/>
        <v>10736809.32</v>
      </c>
      <c r="T612" s="65">
        <f>+'Приложение №2'!E621-'Приложение №1'!P612-'Приложение №1'!R612-'Приложение №1'!S612</f>
        <v>5336731.5465804096</v>
      </c>
      <c r="U612" s="64">
        <f t="shared" si="403"/>
        <v>5311.6250082915967</v>
      </c>
      <c r="V612" s="64">
        <f t="shared" si="403"/>
        <v>5311.6250082915967</v>
      </c>
      <c r="W612" s="126">
        <v>2024</v>
      </c>
      <c r="X612" s="127" t="e">
        <f>+#REF!-'[1]Приложение №1'!$P1040</f>
        <v>#REF!</v>
      </c>
      <c r="Z612" s="63">
        <f t="shared" si="404"/>
        <v>31334841.419999994</v>
      </c>
      <c r="AA612" s="64">
        <v>8119979.0609737793</v>
      </c>
      <c r="AB612" s="64">
        <v>2893482.3597838203</v>
      </c>
      <c r="AC612" s="64">
        <v>0</v>
      </c>
      <c r="AD612" s="64">
        <v>0</v>
      </c>
      <c r="AE612" s="64">
        <v>1157972.4533361599</v>
      </c>
      <c r="AF612" s="64"/>
      <c r="AG612" s="64">
        <v>311585.82840084005</v>
      </c>
      <c r="AH612" s="64">
        <v>0</v>
      </c>
      <c r="AI612" s="64">
        <v>14844557.210124599</v>
      </c>
      <c r="AJ612" s="64">
        <v>0</v>
      </c>
      <c r="AK612" s="64">
        <v>0</v>
      </c>
      <c r="AL612" s="64">
        <v>0</v>
      </c>
      <c r="AM612" s="64">
        <v>3096317.3338000001</v>
      </c>
      <c r="AN612" s="65">
        <v>313348.4142</v>
      </c>
      <c r="AO612" s="66">
        <v>597598.75938079995</v>
      </c>
      <c r="AP612" s="128">
        <f>+N612-'Приложение №2'!E621</f>
        <v>0</v>
      </c>
      <c r="AQ612" s="127">
        <f>1714139.94-279174.44-139587.22-R313</f>
        <v>1202880.77</v>
      </c>
      <c r="AR612" s="25">
        <f t="shared" si="405"/>
        <v>368811.6</v>
      </c>
      <c r="AS612" s="25">
        <f>+(K612*10+L612*20)*12*30-1573640.06-S313</f>
        <v>10736809.32</v>
      </c>
      <c r="AT612" s="127">
        <f t="shared" si="394"/>
        <v>0</v>
      </c>
      <c r="AU612" s="127">
        <f>+P612-'[6]Приложение №1'!$P653</f>
        <v>-1159892.4952787214</v>
      </c>
      <c r="AV612" s="127">
        <f>+Q612-'[6]Приложение №1'!$Q398</f>
        <v>0</v>
      </c>
      <c r="AW612" s="63">
        <f t="shared" si="352"/>
        <v>18450460.628801689</v>
      </c>
      <c r="AX612" s="64"/>
      <c r="AY612" s="64"/>
      <c r="AZ612" s="64">
        <v>0</v>
      </c>
      <c r="BA612" s="64">
        <v>0</v>
      </c>
      <c r="BB612" s="64"/>
      <c r="BC612" s="64"/>
      <c r="BD612" s="64"/>
      <c r="BE612" s="64">
        <v>0</v>
      </c>
      <c r="BF612" s="64">
        <v>18030840.160843939</v>
      </c>
      <c r="BG612" s="64">
        <v>0</v>
      </c>
      <c r="BH612" s="64">
        <v>0</v>
      </c>
      <c r="BI612" s="64">
        <v>0</v>
      </c>
      <c r="BJ612" s="64"/>
      <c r="BK612" s="65"/>
      <c r="BL612" s="66">
        <v>419620.46795774996</v>
      </c>
    </row>
    <row r="613" spans="1:64" x14ac:dyDescent="0.25">
      <c r="A613" s="141">
        <f t="shared" si="399"/>
        <v>594</v>
      </c>
      <c r="B613" s="142">
        <f t="shared" si="400"/>
        <v>136</v>
      </c>
      <c r="C613" s="62" t="s">
        <v>52</v>
      </c>
      <c r="D613" s="62" t="s">
        <v>1032</v>
      </c>
      <c r="E613" s="123">
        <v>1976</v>
      </c>
      <c r="F613" s="123">
        <v>2013</v>
      </c>
      <c r="G613" s="123" t="s">
        <v>43</v>
      </c>
      <c r="H613" s="123">
        <v>4</v>
      </c>
      <c r="I613" s="123">
        <v>6</v>
      </c>
      <c r="J613" s="64">
        <v>5761.37</v>
      </c>
      <c r="K613" s="64">
        <v>4953.17</v>
      </c>
      <c r="L613" s="64">
        <v>0</v>
      </c>
      <c r="M613" s="124">
        <v>208</v>
      </c>
      <c r="N613" s="95">
        <f t="shared" si="401"/>
        <v>9044297.8071412295</v>
      </c>
      <c r="O613" s="64"/>
      <c r="P613" s="65"/>
      <c r="Q613" s="65"/>
      <c r="R613" s="65">
        <f t="shared" si="402"/>
        <v>505223.33999999991</v>
      </c>
      <c r="S613" s="65">
        <f t="shared" si="402"/>
        <v>4454196.4903807919</v>
      </c>
      <c r="T613" s="64">
        <f>+'Приложение №2'!E622-'Приложение №1'!P613-'Приложение №1'!Q613-'Приложение №1'!R613-'Приложение №1'!S613</f>
        <v>4084877.9767604377</v>
      </c>
      <c r="U613" s="64">
        <f t="shared" si="403"/>
        <v>1825.9615169964345</v>
      </c>
      <c r="V613" s="64">
        <f t="shared" si="403"/>
        <v>1825.9615169964345</v>
      </c>
      <c r="W613" s="126">
        <v>2024</v>
      </c>
      <c r="X613" s="127" t="e">
        <f>+#REF!-'[1]Приложение №1'!$P1433</f>
        <v>#REF!</v>
      </c>
      <c r="Z613" s="63">
        <f t="shared" si="404"/>
        <v>18855188.25</v>
      </c>
      <c r="AA613" s="64">
        <v>0</v>
      </c>
      <c r="AB613" s="64">
        <v>4852018.6895581791</v>
      </c>
      <c r="AC613" s="64">
        <v>5128943.0079808198</v>
      </c>
      <c r="AD613" s="64">
        <v>3910862.6451854394</v>
      </c>
      <c r="AE613" s="64">
        <v>1562309.5679603999</v>
      </c>
      <c r="AF613" s="64"/>
      <c r="AG613" s="64">
        <v>416884.20653627999</v>
      </c>
      <c r="AH613" s="64">
        <v>0</v>
      </c>
      <c r="AI613" s="64">
        <v>0</v>
      </c>
      <c r="AJ613" s="64">
        <v>0</v>
      </c>
      <c r="AK613" s="64">
        <v>0</v>
      </c>
      <c r="AL613" s="64">
        <v>0</v>
      </c>
      <c r="AM613" s="64">
        <v>2448551.2283000001</v>
      </c>
      <c r="AN613" s="65">
        <v>188551.88250000004</v>
      </c>
      <c r="AO613" s="66">
        <v>347067.0219788801</v>
      </c>
      <c r="AP613" s="128">
        <f>+N613-'Приложение №2'!E622</f>
        <v>0</v>
      </c>
      <c r="AQ613" s="127">
        <f>2496690.4-R314</f>
        <v>-505223.33999999985</v>
      </c>
      <c r="AR613" s="25">
        <f t="shared" si="405"/>
        <v>505223.33999999991</v>
      </c>
      <c r="AS613" s="25">
        <f>+(K613*10+L613*20)*12*30-S314</f>
        <v>4454196.4903807919</v>
      </c>
      <c r="AT613" s="127">
        <f t="shared" si="394"/>
        <v>0</v>
      </c>
      <c r="AU613" s="127">
        <f>+P613-'[6]Приложение №1'!$P655</f>
        <v>-6983424.6841790471</v>
      </c>
      <c r="AV613" s="127">
        <f>+Q613-'[6]Приложение №1'!$Q400</f>
        <v>0</v>
      </c>
      <c r="AW613" s="63">
        <f t="shared" si="352"/>
        <v>9044297.8071412295</v>
      </c>
      <c r="AX613" s="64">
        <v>0</v>
      </c>
      <c r="AY613" s="64">
        <v>6335311.5899999999</v>
      </c>
      <c r="AZ613" s="64"/>
      <c r="BA613" s="64"/>
      <c r="BB613" s="64">
        <v>2080667.57</v>
      </c>
      <c r="BC613" s="64"/>
      <c r="BD613" s="64"/>
      <c r="BE613" s="64">
        <v>0</v>
      </c>
      <c r="BF613" s="64">
        <v>0</v>
      </c>
      <c r="BG613" s="64">
        <v>0</v>
      </c>
      <c r="BH613" s="64">
        <v>0</v>
      </c>
      <c r="BI613" s="64"/>
      <c r="BJ613" s="64"/>
      <c r="BK613" s="65"/>
      <c r="BL613" s="66">
        <v>628318.64714122843</v>
      </c>
    </row>
    <row r="614" spans="1:64" x14ac:dyDescent="0.25">
      <c r="A614" s="141">
        <f t="shared" si="399"/>
        <v>595</v>
      </c>
      <c r="B614" s="142">
        <f t="shared" si="400"/>
        <v>137</v>
      </c>
      <c r="C614" s="62" t="s">
        <v>52</v>
      </c>
      <c r="D614" s="62" t="s">
        <v>395</v>
      </c>
      <c r="E614" s="123" t="s">
        <v>501</v>
      </c>
      <c r="F614" s="123">
        <v>2011</v>
      </c>
      <c r="G614" s="123" t="s">
        <v>43</v>
      </c>
      <c r="H614" s="123">
        <v>4</v>
      </c>
      <c r="I614" s="123">
        <v>4</v>
      </c>
      <c r="J614" s="64">
        <v>2994.2</v>
      </c>
      <c r="K614" s="64">
        <v>2607.6</v>
      </c>
      <c r="L614" s="64">
        <v>383.9</v>
      </c>
      <c r="M614" s="124">
        <v>101</v>
      </c>
      <c r="N614" s="95">
        <v>14636422.305</v>
      </c>
      <c r="O614" s="64"/>
      <c r="P614" s="65"/>
      <c r="Q614" s="65"/>
      <c r="R614" s="65">
        <v>361505.33999999997</v>
      </c>
      <c r="S614" s="65">
        <v>11078205.366999999</v>
      </c>
      <c r="T614" s="64">
        <f>N614-R614-S614</f>
        <v>3196711.5980000012</v>
      </c>
      <c r="U614" s="64">
        <f t="shared" si="403"/>
        <v>4892.67</v>
      </c>
      <c r="V614" s="64">
        <f t="shared" si="403"/>
        <v>4892.67</v>
      </c>
      <c r="W614" s="126">
        <v>2024</v>
      </c>
      <c r="X614" s="127"/>
      <c r="Z614" s="63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  <c r="AN614" s="65"/>
      <c r="AO614" s="66"/>
      <c r="AP614" s="128"/>
      <c r="AQ614" s="127">
        <v>2558549.2999999998</v>
      </c>
      <c r="AR614" s="25">
        <f>+(K614*10.5+L614*21)*12*0.85</f>
        <v>361505.33999999997</v>
      </c>
      <c r="AS614" s="25">
        <f>+(K614*10.5+L614*21)*12*30-58057.611-1622749.022</f>
        <v>11078205.366999999</v>
      </c>
      <c r="AT614" s="127">
        <f t="shared" si="394"/>
        <v>0</v>
      </c>
      <c r="AU614" s="127"/>
      <c r="AV614" s="127"/>
      <c r="AW614" s="88">
        <f t="shared" si="352"/>
        <v>14636422.305</v>
      </c>
      <c r="AX614" s="64"/>
      <c r="AY614" s="64"/>
      <c r="AZ614" s="64"/>
      <c r="BA614" s="64"/>
      <c r="BB614" s="64"/>
      <c r="BC614" s="64"/>
      <c r="BD614" s="64"/>
      <c r="BE614" s="64"/>
      <c r="BF614" s="64"/>
      <c r="BG614" s="64"/>
      <c r="BH614" s="64">
        <v>14323202.867673</v>
      </c>
      <c r="BI614" s="64"/>
      <c r="BJ614" s="64"/>
      <c r="BK614" s="65"/>
      <c r="BL614" s="66">
        <v>313219.43732700002</v>
      </c>
    </row>
    <row r="615" spans="1:64" x14ac:dyDescent="0.25">
      <c r="A615" s="141">
        <f t="shared" si="399"/>
        <v>596</v>
      </c>
      <c r="B615" s="142">
        <f t="shared" si="400"/>
        <v>138</v>
      </c>
      <c r="C615" s="62" t="s">
        <v>52</v>
      </c>
      <c r="D615" s="62" t="s">
        <v>1138</v>
      </c>
      <c r="E615" s="123">
        <v>1977</v>
      </c>
      <c r="F615" s="123">
        <v>2016</v>
      </c>
      <c r="G615" s="123" t="s">
        <v>43</v>
      </c>
      <c r="H615" s="123">
        <v>4</v>
      </c>
      <c r="I615" s="123">
        <v>3</v>
      </c>
      <c r="J615" s="64">
        <v>4282.03</v>
      </c>
      <c r="K615" s="64">
        <v>3649.25</v>
      </c>
      <c r="L615" s="64">
        <v>274</v>
      </c>
      <c r="M615" s="124">
        <v>288</v>
      </c>
      <c r="N615" s="63">
        <f>SUM(O615:T615)</f>
        <v>44995984.52920302</v>
      </c>
      <c r="O615" s="64"/>
      <c r="P615" s="65">
        <v>5116287.7866000012</v>
      </c>
      <c r="Q615" s="65"/>
      <c r="R615" s="65"/>
      <c r="S615" s="65">
        <f>+AS615</f>
        <v>14184798.367000001</v>
      </c>
      <c r="T615" s="64">
        <f>+'Приложение №2'!E624-'Приложение №1'!P615-'Приложение №1'!Q615-'Приложение №1'!R615-'Приложение №1'!S615</f>
        <v>25694898.37560302</v>
      </c>
      <c r="U615" s="64">
        <f t="shared" si="403"/>
        <v>11469.058696030846</v>
      </c>
      <c r="V615" s="64">
        <f t="shared" si="403"/>
        <v>11469.058696030846</v>
      </c>
      <c r="W615" s="126">
        <v>2024</v>
      </c>
      <c r="X615" s="127" t="e">
        <f>+#REF!-'[1]Приложение №1'!$P678</f>
        <v>#REF!</v>
      </c>
      <c r="Z615" s="63">
        <f>SUM(AA615:AO615)</f>
        <v>23141293.460000001</v>
      </c>
      <c r="AA615" s="64">
        <v>8634085.2331297211</v>
      </c>
      <c r="AB615" s="64">
        <v>0</v>
      </c>
      <c r="AC615" s="64">
        <v>3214445.52658614</v>
      </c>
      <c r="AD615" s="64">
        <v>0</v>
      </c>
      <c r="AE615" s="64">
        <v>0</v>
      </c>
      <c r="AF615" s="64"/>
      <c r="AG615" s="64">
        <v>331313.48510400002</v>
      </c>
      <c r="AH615" s="64">
        <v>0</v>
      </c>
      <c r="AI615" s="64">
        <v>0</v>
      </c>
      <c r="AJ615" s="64">
        <v>0</v>
      </c>
      <c r="AK615" s="64">
        <v>8195344.7229868202</v>
      </c>
      <c r="AL615" s="64">
        <v>0</v>
      </c>
      <c r="AM615" s="64">
        <v>2089127.4416</v>
      </c>
      <c r="AN615" s="65">
        <v>231412.93460000001</v>
      </c>
      <c r="AO615" s="66">
        <v>445564.11599332013</v>
      </c>
      <c r="AP615" s="128">
        <f>+N615-'Приложение №2'!E624</f>
        <v>0</v>
      </c>
      <c r="AQ615" s="127">
        <f>1693116.47-238851.36</f>
        <v>1454265.1099999999</v>
      </c>
      <c r="AR615" s="25">
        <f>+(K615*10.5+L615*21)*12*0.85</f>
        <v>449525.47499999998</v>
      </c>
      <c r="AS615" s="25">
        <f>+(K615*10.5+L615*21)*12*30-58057.611-1622749.022</f>
        <v>14184798.367000001</v>
      </c>
      <c r="AT615" s="127">
        <f t="shared" si="394"/>
        <v>0</v>
      </c>
      <c r="AU615" s="127">
        <f>+P615-'[6]Приложение №1'!$P582</f>
        <v>5116287.7866000012</v>
      </c>
      <c r="AV615" s="127">
        <f>+Q615-'[6]Приложение №1'!$Q582</f>
        <v>0</v>
      </c>
      <c r="AW615" s="88">
        <f t="shared" si="352"/>
        <v>41448783.589299999</v>
      </c>
      <c r="AX615" s="64">
        <v>9072553.7200000007</v>
      </c>
      <c r="AY615" s="64">
        <v>0</v>
      </c>
      <c r="AZ615" s="64">
        <v>4761923.9526076037</v>
      </c>
      <c r="BA615" s="64">
        <v>0</v>
      </c>
      <c r="BB615" s="64">
        <v>0</v>
      </c>
      <c r="BC615" s="64"/>
      <c r="BD615" s="64">
        <v>0</v>
      </c>
      <c r="BE615" s="64">
        <v>0</v>
      </c>
      <c r="BF615" s="64">
        <v>0</v>
      </c>
      <c r="BG615" s="64">
        <v>0</v>
      </c>
      <c r="BH615" s="64">
        <v>26921454.597489376</v>
      </c>
      <c r="BI615" s="64">
        <v>0</v>
      </c>
      <c r="BJ615" s="64"/>
      <c r="BK615" s="65"/>
      <c r="BL615" s="66">
        <v>692851.31920302007</v>
      </c>
    </row>
    <row r="616" spans="1:64" x14ac:dyDescent="0.25">
      <c r="A616" s="141">
        <f t="shared" si="399"/>
        <v>597</v>
      </c>
      <c r="B616" s="142">
        <f t="shared" si="400"/>
        <v>139</v>
      </c>
      <c r="C616" s="62" t="s">
        <v>52</v>
      </c>
      <c r="D616" s="62" t="s">
        <v>695</v>
      </c>
      <c r="E616" s="123" t="s">
        <v>501</v>
      </c>
      <c r="F616" s="123"/>
      <c r="G616" s="123" t="s">
        <v>43</v>
      </c>
      <c r="H616" s="123">
        <v>4</v>
      </c>
      <c r="I616" s="123">
        <v>2</v>
      </c>
      <c r="J616" s="64">
        <v>1305.4000000000001</v>
      </c>
      <c r="K616" s="64">
        <v>1212.2</v>
      </c>
      <c r="L616" s="64">
        <v>0</v>
      </c>
      <c r="M616" s="124">
        <v>58</v>
      </c>
      <c r="N616" s="63">
        <v>5930894.574</v>
      </c>
      <c r="O616" s="64"/>
      <c r="P616" s="65"/>
      <c r="Q616" s="65"/>
      <c r="R616" s="65">
        <v>129826.62000000001</v>
      </c>
      <c r="S616" s="65">
        <v>2901309.3670000006</v>
      </c>
      <c r="T616" s="64">
        <f>N616-R616-S616</f>
        <v>2899758.5869999994</v>
      </c>
      <c r="U616" s="64">
        <f t="shared" si="403"/>
        <v>4892.67</v>
      </c>
      <c r="V616" s="64">
        <f t="shared" si="403"/>
        <v>4892.67</v>
      </c>
      <c r="W616" s="126">
        <v>2024</v>
      </c>
      <c r="X616" s="127"/>
      <c r="Z616" s="63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  <c r="AN616" s="65"/>
      <c r="AO616" s="66"/>
      <c r="AP616" s="128"/>
      <c r="AQ616" s="127">
        <v>909150.67</v>
      </c>
      <c r="AR616" s="25">
        <f t="shared" ref="AR616:AR619" si="406">+(K616*10.5+L616*21)*12*0.85</f>
        <v>129826.62000000001</v>
      </c>
      <c r="AS616" s="25">
        <f>+(K616*10.5+L616*21)*12*30-58057.611-1622749.022</f>
        <v>2901309.3670000006</v>
      </c>
      <c r="AT616" s="127"/>
      <c r="AU616" s="127"/>
      <c r="AV616" s="127"/>
      <c r="AW616" s="88">
        <f t="shared" si="352"/>
        <v>5930894.574</v>
      </c>
      <c r="AX616" s="64"/>
      <c r="AY616" s="64"/>
      <c r="AZ616" s="64"/>
      <c r="BA616" s="64"/>
      <c r="BB616" s="64"/>
      <c r="BC616" s="64"/>
      <c r="BD616" s="64"/>
      <c r="BE616" s="64"/>
      <c r="BF616" s="64"/>
      <c r="BG616" s="64"/>
      <c r="BH616" s="64">
        <v>5803973.4301164001</v>
      </c>
      <c r="BI616" s="64"/>
      <c r="BJ616" s="64"/>
      <c r="BK616" s="65"/>
      <c r="BL616" s="66">
        <v>126921.14388360002</v>
      </c>
    </row>
    <row r="617" spans="1:64" x14ac:dyDescent="0.25">
      <c r="A617" s="141">
        <f t="shared" si="399"/>
        <v>598</v>
      </c>
      <c r="B617" s="142">
        <f t="shared" si="400"/>
        <v>140</v>
      </c>
      <c r="C617" s="62" t="s">
        <v>52</v>
      </c>
      <c r="D617" s="62" t="s">
        <v>1088</v>
      </c>
      <c r="E617" s="123">
        <v>1988</v>
      </c>
      <c r="F617" s="123">
        <v>2013</v>
      </c>
      <c r="G617" s="123" t="s">
        <v>43</v>
      </c>
      <c r="H617" s="123">
        <v>3</v>
      </c>
      <c r="I617" s="123">
        <v>3</v>
      </c>
      <c r="J617" s="64">
        <v>1440</v>
      </c>
      <c r="K617" s="64">
        <v>1362.6</v>
      </c>
      <c r="L617" s="64">
        <v>0</v>
      </c>
      <c r="M617" s="124">
        <v>54</v>
      </c>
      <c r="N617" s="63">
        <f t="shared" si="388"/>
        <v>16234996.651950564</v>
      </c>
      <c r="O617" s="64"/>
      <c r="P617" s="65">
        <v>4171397.8607790703</v>
      </c>
      <c r="Q617" s="65"/>
      <c r="R617" s="65">
        <f>+AR617</f>
        <v>145934.45999999996</v>
      </c>
      <c r="S617" s="65">
        <f>+AS617</f>
        <v>0</v>
      </c>
      <c r="T617" s="65">
        <f>+'Приложение №2'!E626-'Приложение №1'!P617-'Приложение №1'!R617-'Приложение №1'!S617</f>
        <v>11917664.331171494</v>
      </c>
      <c r="U617" s="64">
        <f t="shared" si="403"/>
        <v>11914.719398173025</v>
      </c>
      <c r="V617" s="64">
        <f t="shared" si="403"/>
        <v>11914.719398173025</v>
      </c>
      <c r="W617" s="126">
        <v>2024</v>
      </c>
      <c r="X617" s="127" t="e">
        <f>+#REF!-'[1]Приложение №1'!$P1073</f>
        <v>#REF!</v>
      </c>
      <c r="Z617" s="63">
        <f>SUM(AA617:AO617)</f>
        <v>25083426.917270374</v>
      </c>
      <c r="AA617" s="64">
        <v>4525107.225966936</v>
      </c>
      <c r="AB617" s="64">
        <v>2796445.9111580672</v>
      </c>
      <c r="AC617" s="64">
        <v>1312542.3519563093</v>
      </c>
      <c r="AD617" s="64">
        <v>1144056.1189434747</v>
      </c>
      <c r="AE617" s="64">
        <v>736445.82143999997</v>
      </c>
      <c r="AF617" s="64"/>
      <c r="AG617" s="64">
        <v>433409.41392000002</v>
      </c>
      <c r="AH617" s="64">
        <v>0</v>
      </c>
      <c r="AI617" s="64">
        <v>13331310.272431584</v>
      </c>
      <c r="AJ617" s="64">
        <v>0</v>
      </c>
      <c r="AK617" s="64">
        <v>0</v>
      </c>
      <c r="AL617" s="64">
        <v>0</v>
      </c>
      <c r="AM617" s="64">
        <v>225241.67</v>
      </c>
      <c r="AN617" s="64">
        <v>47928.639999999999</v>
      </c>
      <c r="AO617" s="66">
        <v>530939.491454</v>
      </c>
      <c r="AP617" s="128">
        <f>+N617-'Приложение №2'!E626</f>
        <v>0</v>
      </c>
      <c r="AQ617" s="38">
        <f>737152.83-R318</f>
        <v>-145934.45999999996</v>
      </c>
      <c r="AR617" s="25">
        <f t="shared" si="406"/>
        <v>145934.45999999996</v>
      </c>
      <c r="AS617" s="25">
        <f>+(K617*10.5+L617*21)*12*30-S318</f>
        <v>0</v>
      </c>
      <c r="AT617" s="127">
        <f t="shared" si="394"/>
        <v>0</v>
      </c>
      <c r="AU617" s="127">
        <f>+P617-'[6]Приложение №1'!$P584</f>
        <v>0</v>
      </c>
      <c r="AV617" s="127">
        <f>+Q617-'[6]Приложение №1'!$Q584</f>
        <v>0</v>
      </c>
      <c r="AW617" s="88">
        <f t="shared" si="352"/>
        <v>16234996.651950564</v>
      </c>
      <c r="AX617" s="64"/>
      <c r="AY617" s="64"/>
      <c r="AZ617" s="64"/>
      <c r="BA617" s="64"/>
      <c r="BB617" s="64"/>
      <c r="BC617" s="64"/>
      <c r="BD617" s="64"/>
      <c r="BE617" s="64">
        <v>0</v>
      </c>
      <c r="BF617" s="64">
        <v>13331310.272431584</v>
      </c>
      <c r="BG617" s="64">
        <v>0</v>
      </c>
      <c r="BH617" s="64">
        <v>0</v>
      </c>
      <c r="BI617" s="64">
        <v>0</v>
      </c>
      <c r="BJ617" s="64">
        <v>2193617.8228000002</v>
      </c>
      <c r="BK617" s="64">
        <v>242740.96649999998</v>
      </c>
      <c r="BL617" s="66">
        <v>467327.59021898004</v>
      </c>
    </row>
    <row r="618" spans="1:64" x14ac:dyDescent="0.25">
      <c r="A618" s="141">
        <f t="shared" si="399"/>
        <v>599</v>
      </c>
      <c r="B618" s="142">
        <f t="shared" si="400"/>
        <v>141</v>
      </c>
      <c r="C618" s="62" t="s">
        <v>52</v>
      </c>
      <c r="D618" s="62" t="s">
        <v>1139</v>
      </c>
      <c r="E618" s="123">
        <v>1989</v>
      </c>
      <c r="F618" s="123">
        <v>2013</v>
      </c>
      <c r="G618" s="123" t="s">
        <v>43</v>
      </c>
      <c r="H618" s="123">
        <v>3</v>
      </c>
      <c r="I618" s="123">
        <v>3</v>
      </c>
      <c r="J618" s="64">
        <v>1505.9</v>
      </c>
      <c r="K618" s="64">
        <v>1326.7</v>
      </c>
      <c r="L618" s="64">
        <v>0</v>
      </c>
      <c r="M618" s="124">
        <v>75</v>
      </c>
      <c r="N618" s="63">
        <f t="shared" si="388"/>
        <v>9689035.8902000003</v>
      </c>
      <c r="O618" s="64"/>
      <c r="P618" s="65">
        <v>1272584.8299999998</v>
      </c>
      <c r="Q618" s="65"/>
      <c r="R618" s="65">
        <f>+AQ618+AR618</f>
        <v>939228.03</v>
      </c>
      <c r="S618" s="65">
        <f>+AS618</f>
        <v>5014926</v>
      </c>
      <c r="T618" s="65">
        <f>+'Приложение №2'!E627-'Приложение №1'!P618-'Приложение №1'!R618-'Приложение №1'!S618</f>
        <v>2462297.0301999999</v>
      </c>
      <c r="U618" s="65">
        <f t="shared" si="390"/>
        <v>7303.1098893495137</v>
      </c>
      <c r="V618" s="65">
        <v>1302.2830200640001</v>
      </c>
      <c r="W618" s="126">
        <v>2024</v>
      </c>
      <c r="X618" s="127" t="e">
        <f>+#REF!-'[1]Приложение №1'!$P423</f>
        <v>#REF!</v>
      </c>
      <c r="Z618" s="63">
        <f>SUM(AA618:AO618)</f>
        <v>10886557.18</v>
      </c>
      <c r="AA618" s="64">
        <v>0</v>
      </c>
      <c r="AB618" s="64">
        <v>0</v>
      </c>
      <c r="AC618" s="64">
        <v>0</v>
      </c>
      <c r="AD618" s="64">
        <v>0</v>
      </c>
      <c r="AE618" s="64">
        <v>0</v>
      </c>
      <c r="AF618" s="64"/>
      <c r="AG618" s="64">
        <v>0</v>
      </c>
      <c r="AH618" s="64">
        <v>0</v>
      </c>
      <c r="AI618" s="64">
        <v>0</v>
      </c>
      <c r="AJ618" s="64">
        <v>0</v>
      </c>
      <c r="AK618" s="64">
        <v>0</v>
      </c>
      <c r="AL618" s="64">
        <v>9481690.5221497193</v>
      </c>
      <c r="AM618" s="64">
        <v>1088655.7180000001</v>
      </c>
      <c r="AN618" s="65">
        <v>108865.57180000001</v>
      </c>
      <c r="AO618" s="66">
        <v>207345.36805028003</v>
      </c>
      <c r="AP618" s="128">
        <f>+N618-'Приложение №2'!E627</f>
        <v>0</v>
      </c>
      <c r="AQ618" s="38">
        <v>797138.46</v>
      </c>
      <c r="AR618" s="25">
        <f t="shared" si="406"/>
        <v>142089.57</v>
      </c>
      <c r="AS618" s="25">
        <f>+(K618*10.5+L618*21)*12*30</f>
        <v>5014926</v>
      </c>
      <c r="AT618" s="127">
        <f t="shared" si="394"/>
        <v>0</v>
      </c>
      <c r="AU618" s="127">
        <f>+P618-'[6]Приложение №1'!$P585</f>
        <v>0</v>
      </c>
      <c r="AV618" s="127">
        <f>+Q618-'[6]Приложение №1'!$Q585</f>
        <v>0</v>
      </c>
      <c r="AW618" s="88">
        <f t="shared" si="352"/>
        <v>9689035.8902000003</v>
      </c>
      <c r="AX618" s="64">
        <v>0</v>
      </c>
      <c r="AY618" s="64">
        <v>0</v>
      </c>
      <c r="AZ618" s="64">
        <v>0</v>
      </c>
      <c r="BA618" s="64">
        <v>0</v>
      </c>
      <c r="BB618" s="64">
        <v>0</v>
      </c>
      <c r="BC618" s="64"/>
      <c r="BD618" s="64"/>
      <c r="BE618" s="64">
        <v>0</v>
      </c>
      <c r="BF618" s="64">
        <v>0</v>
      </c>
      <c r="BG618" s="64">
        <v>0</v>
      </c>
      <c r="BH618" s="64">
        <v>0</v>
      </c>
      <c r="BI618" s="64">
        <v>9481690.5221497193</v>
      </c>
      <c r="BJ618" s="64"/>
      <c r="BK618" s="65"/>
      <c r="BL618" s="66">
        <v>207345.36805028003</v>
      </c>
    </row>
    <row r="619" spans="1:64" x14ac:dyDescent="0.25">
      <c r="A619" s="141">
        <f t="shared" si="399"/>
        <v>600</v>
      </c>
      <c r="B619" s="142">
        <f t="shared" si="400"/>
        <v>142</v>
      </c>
      <c r="C619" s="62" t="s">
        <v>52</v>
      </c>
      <c r="D619" s="62" t="s">
        <v>1140</v>
      </c>
      <c r="E619" s="123">
        <v>1979</v>
      </c>
      <c r="F619" s="123">
        <v>2008</v>
      </c>
      <c r="G619" s="123" t="s">
        <v>43</v>
      </c>
      <c r="H619" s="123">
        <v>4</v>
      </c>
      <c r="I619" s="123">
        <v>1</v>
      </c>
      <c r="J619" s="64">
        <v>4953.1000000000004</v>
      </c>
      <c r="K619" s="64">
        <v>4344.8</v>
      </c>
      <c r="L619" s="64">
        <v>0</v>
      </c>
      <c r="M619" s="124">
        <v>210</v>
      </c>
      <c r="N619" s="63">
        <f t="shared" si="388"/>
        <v>25809972.036199994</v>
      </c>
      <c r="O619" s="64"/>
      <c r="P619" s="65">
        <v>2747451.5274999994</v>
      </c>
      <c r="Q619" s="65"/>
      <c r="R619" s="65">
        <f>+AQ619+AR619</f>
        <v>2754406.8400000003</v>
      </c>
      <c r="S619" s="65">
        <f>+AS619</f>
        <v>16423344.000000002</v>
      </c>
      <c r="T619" s="65">
        <f>+'Приложение №2'!E628-'Приложение №1'!P619-'Приложение №1'!R619-'Приложение №1'!S619</f>
        <v>3884769.6686999965</v>
      </c>
      <c r="U619" s="65">
        <f t="shared" si="390"/>
        <v>5940.4281062879745</v>
      </c>
      <c r="V619" s="65">
        <v>1303.2830200640001</v>
      </c>
      <c r="W619" s="126">
        <v>2024</v>
      </c>
      <c r="X619" s="127" t="e">
        <f>+#REF!-'[1]Приложение №1'!$P1074</f>
        <v>#REF!</v>
      </c>
      <c r="Z619" s="63">
        <f>SUM(AA619:AO619)</f>
        <v>79806524.310000002</v>
      </c>
      <c r="AA619" s="64">
        <v>7307972.9825192997</v>
      </c>
      <c r="AB619" s="64">
        <v>4226400.5602551596</v>
      </c>
      <c r="AC619" s="64">
        <v>4467618.3252825597</v>
      </c>
      <c r="AD619" s="64">
        <v>3406596.95492088</v>
      </c>
      <c r="AE619" s="64">
        <v>1360865.74605282</v>
      </c>
      <c r="AF619" s="64"/>
      <c r="AG619" s="64">
        <v>363131.25296279998</v>
      </c>
      <c r="AH619" s="64">
        <v>0</v>
      </c>
      <c r="AI619" s="64">
        <v>13009304.578170599</v>
      </c>
      <c r="AJ619" s="64">
        <v>0</v>
      </c>
      <c r="AK619" s="64">
        <v>25257638.634625319</v>
      </c>
      <c r="AL619" s="64">
        <v>9933505.3301777989</v>
      </c>
      <c r="AM619" s="64">
        <v>8159251.6634999998</v>
      </c>
      <c r="AN619" s="65">
        <v>798065.24310000008</v>
      </c>
      <c r="AO619" s="66">
        <v>1516173.0384327602</v>
      </c>
      <c r="AP619" s="128">
        <f>+N619-'Приложение №2'!E628</f>
        <v>0</v>
      </c>
      <c r="AQ619" s="23">
        <f>2464536.95-175458.19</f>
        <v>2289078.7600000002</v>
      </c>
      <c r="AR619" s="25">
        <f t="shared" si="406"/>
        <v>465328.08</v>
      </c>
      <c r="AS619" s="25">
        <f>+(K619*10.5+L619*21)*12*30</f>
        <v>16423344.000000002</v>
      </c>
      <c r="AT619" s="127">
        <f t="shared" si="394"/>
        <v>0</v>
      </c>
      <c r="AU619" s="127">
        <f>+P619-'[6]Приложение №1'!$P586</f>
        <v>0</v>
      </c>
      <c r="AV619" s="127">
        <f>+Q619-'[6]Приложение №1'!$Q586</f>
        <v>0</v>
      </c>
      <c r="AW619" s="88">
        <f t="shared" si="352"/>
        <v>25809972.036199998</v>
      </c>
      <c r="AX619" s="64"/>
      <c r="AY619" s="64"/>
      <c r="AZ619" s="64"/>
      <c r="BA619" s="64"/>
      <c r="BB619" s="64"/>
      <c r="BC619" s="64"/>
      <c r="BD619" s="64"/>
      <c r="BE619" s="64"/>
      <c r="BF619" s="64"/>
      <c r="BG619" s="64">
        <v>0</v>
      </c>
      <c r="BH619" s="64">
        <v>25257638.634625319</v>
      </c>
      <c r="BI619" s="64"/>
      <c r="BJ619" s="64"/>
      <c r="BK619" s="65"/>
      <c r="BL619" s="66">
        <v>552333.40157468</v>
      </c>
    </row>
    <row r="620" spans="1:64" s="74" customFormat="1" x14ac:dyDescent="0.25">
      <c r="A620" s="141">
        <f t="shared" si="399"/>
        <v>601</v>
      </c>
      <c r="B620" s="142">
        <f t="shared" si="400"/>
        <v>143</v>
      </c>
      <c r="C620" s="62" t="s">
        <v>132</v>
      </c>
      <c r="D620" s="62" t="s">
        <v>758</v>
      </c>
      <c r="E620" s="123" t="s">
        <v>95</v>
      </c>
      <c r="F620" s="123"/>
      <c r="G620" s="123" t="s">
        <v>43</v>
      </c>
      <c r="H620" s="123" t="s">
        <v>97</v>
      </c>
      <c r="I620" s="123" t="s">
        <v>101</v>
      </c>
      <c r="J620" s="64">
        <v>5877.12</v>
      </c>
      <c r="K620" s="64">
        <v>5045.7</v>
      </c>
      <c r="L620" s="64">
        <v>0</v>
      </c>
      <c r="M620" s="124">
        <v>170</v>
      </c>
      <c r="N620" s="63">
        <f>SUM(O620:S620)</f>
        <v>10774080</v>
      </c>
      <c r="O620" s="64">
        <v>0</v>
      </c>
      <c r="P620" s="65">
        <v>7237936.3654399998</v>
      </c>
      <c r="Q620" s="65">
        <v>0</v>
      </c>
      <c r="R620" s="65">
        <v>3536143.6345600002</v>
      </c>
      <c r="U620" s="65">
        <f t="shared" si="390"/>
        <v>2135.2993638147336</v>
      </c>
      <c r="V620" s="65">
        <v>1304.2830200640001</v>
      </c>
      <c r="W620" s="126">
        <v>2024</v>
      </c>
      <c r="Y620" s="74">
        <f>+(K620*12.08+L620*20.47)*12</f>
        <v>731424.67200000002</v>
      </c>
      <c r="AA620" s="129">
        <f>+N620-'[5]Приложение № 2'!E552</f>
        <v>8888694.4000000004</v>
      </c>
      <c r="AD620" s="129">
        <f>+N620-'[5]Приложение № 2'!E552</f>
        <v>8888694.4000000004</v>
      </c>
      <c r="AP620" s="128">
        <f>+N620-'Приложение №2'!E629</f>
        <v>0</v>
      </c>
      <c r="AR620" s="25">
        <f t="shared" ref="AR620" si="407">+(K620*13.95+L620*23.65)*12*0.85</f>
        <v>717952.65299999993</v>
      </c>
      <c r="AS620" s="25">
        <f>+(K620*13.95+L620*23.65)*12*30</f>
        <v>25339505.399999999</v>
      </c>
      <c r="AT620" s="127">
        <f t="shared" si="394"/>
        <v>-25339505.399999999</v>
      </c>
      <c r="AU620" s="127">
        <f>+P620-'[6]Приложение №1'!$P587</f>
        <v>0</v>
      </c>
      <c r="AV620" s="127">
        <f>+Q620-'[6]Приложение №1'!$Q587</f>
        <v>0</v>
      </c>
      <c r="AW620" s="88">
        <f t="shared" si="352"/>
        <v>10774080</v>
      </c>
      <c r="AX620" s="64"/>
      <c r="AY620" s="64"/>
      <c r="AZ620" s="64"/>
      <c r="BA620" s="64"/>
      <c r="BB620" s="64"/>
      <c r="BC620" s="64"/>
      <c r="BD620" s="64"/>
      <c r="BE620" s="64">
        <v>10384981.714635869</v>
      </c>
      <c r="BF620" s="64"/>
      <c r="BG620" s="64"/>
      <c r="BH620" s="64"/>
      <c r="BI620" s="64"/>
      <c r="BJ620" s="64">
        <v>137999.768408064</v>
      </c>
      <c r="BK620" s="65">
        <v>24000</v>
      </c>
      <c r="BL620" s="66">
        <v>227098.51695606747</v>
      </c>
    </row>
    <row r="621" spans="1:64" x14ac:dyDescent="0.25">
      <c r="A621" s="141">
        <f t="shared" si="399"/>
        <v>602</v>
      </c>
      <c r="B621" s="142">
        <f t="shared" si="400"/>
        <v>144</v>
      </c>
      <c r="C621" s="62" t="s">
        <v>52</v>
      </c>
      <c r="D621" s="62" t="s">
        <v>696</v>
      </c>
      <c r="E621" s="123">
        <v>1961</v>
      </c>
      <c r="F621" s="123">
        <v>2013</v>
      </c>
      <c r="G621" s="123" t="s">
        <v>43</v>
      </c>
      <c r="H621" s="123">
        <v>4</v>
      </c>
      <c r="I621" s="123">
        <v>3</v>
      </c>
      <c r="J621" s="64">
        <v>3049.5</v>
      </c>
      <c r="K621" s="64">
        <v>2277.6</v>
      </c>
      <c r="L621" s="64">
        <v>771.9</v>
      </c>
      <c r="M621" s="124">
        <v>94</v>
      </c>
      <c r="N621" s="95">
        <f t="shared" ref="N621" si="408">+P621+Q621+R621+S621+T621</f>
        <v>2884040.2290000003</v>
      </c>
      <c r="O621" s="64"/>
      <c r="P621" s="65"/>
      <c r="Q621" s="65"/>
      <c r="R621" s="65">
        <f>+AQ621+AR621</f>
        <v>451230.06909940013</v>
      </c>
      <c r="S621" s="65">
        <f>+'Приложение №2'!E630-'Приложение №1'!R621</f>
        <v>2432810.1599006001</v>
      </c>
      <c r="T621" s="65">
        <v>1.1641532182693481E-10</v>
      </c>
      <c r="U621" s="64">
        <f t="shared" ref="U621:V621" si="409">$N621/($K621+$L621)</f>
        <v>945.74200000000008</v>
      </c>
      <c r="V621" s="64">
        <f t="shared" si="409"/>
        <v>945.74200000000008</v>
      </c>
      <c r="W621" s="126">
        <v>2024</v>
      </c>
      <c r="X621" s="127" t="e">
        <f>+#REF!-'[1]Приложение №1'!$P1959</f>
        <v>#REF!</v>
      </c>
      <c r="Z621" s="63">
        <f t="shared" ref="Z621" si="410">SUM(AA621:AO621)</f>
        <v>13067933.899999999</v>
      </c>
      <c r="AA621" s="64">
        <v>5253036.7368624602</v>
      </c>
      <c r="AB621" s="64">
        <v>1871872.94908698</v>
      </c>
      <c r="AC621" s="64">
        <v>1955690.7227369398</v>
      </c>
      <c r="AD621" s="64">
        <v>1224386.0518469999</v>
      </c>
      <c r="AE621" s="64">
        <v>749124.08010090003</v>
      </c>
      <c r="AF621" s="64"/>
      <c r="AG621" s="64">
        <v>201573.40567307998</v>
      </c>
      <c r="AH621" s="64">
        <v>0</v>
      </c>
      <c r="AI621" s="64">
        <v>0</v>
      </c>
      <c r="AJ621" s="64">
        <v>0</v>
      </c>
      <c r="AK621" s="64">
        <v>0</v>
      </c>
      <c r="AL621" s="64">
        <v>0</v>
      </c>
      <c r="AM621" s="64">
        <v>1435431.6034000001</v>
      </c>
      <c r="AN621" s="65">
        <v>130679.33899999999</v>
      </c>
      <c r="AO621" s="66">
        <v>246139.01129264</v>
      </c>
      <c r="AP621" s="128">
        <f>+N621-'Приложение №2'!E630</f>
        <v>0</v>
      </c>
      <c r="AQ621" s="127">
        <f>1647685.87-R320</f>
        <v>61447.269099400146</v>
      </c>
      <c r="AR621" s="25">
        <f t="shared" ref="AR621" si="411">+(K621*10+L621*20)*12*0.85</f>
        <v>389782.8</v>
      </c>
      <c r="AS621" s="25">
        <f>+(K621*10+L621*20)*12*30-S320</f>
        <v>13757040</v>
      </c>
      <c r="AT621" s="127">
        <f t="shared" si="394"/>
        <v>-11324229.8400994</v>
      </c>
      <c r="AU621" s="127">
        <f>+P621-'[6]Приложение №1'!$P656</f>
        <v>-7052461.9983708654</v>
      </c>
      <c r="AV621" s="127">
        <f>+Q621-'[6]Приложение №1'!$Q656</f>
        <v>0</v>
      </c>
      <c r="AW621" s="63">
        <f t="shared" ref="AW621:AW688" si="412">SUBTOTAL(9,AX621:BL621)</f>
        <v>2884040.2290000003</v>
      </c>
      <c r="AX621" s="64"/>
      <c r="AY621" s="64"/>
      <c r="AZ621" s="64"/>
      <c r="BA621" s="64">
        <v>2822321.7680994002</v>
      </c>
      <c r="BB621" s="64"/>
      <c r="BC621" s="64"/>
      <c r="BD621" s="64"/>
      <c r="BE621" s="64">
        <v>0</v>
      </c>
      <c r="BF621" s="64">
        <v>0</v>
      </c>
      <c r="BG621" s="64">
        <v>0</v>
      </c>
      <c r="BH621" s="64">
        <v>0</v>
      </c>
      <c r="BI621" s="64">
        <v>0</v>
      </c>
      <c r="BJ621" s="64"/>
      <c r="BK621" s="65"/>
      <c r="BL621" s="66">
        <v>61718.46090060001</v>
      </c>
    </row>
    <row r="622" spans="1:64" x14ac:dyDescent="0.25">
      <c r="A622" s="141">
        <f t="shared" si="399"/>
        <v>603</v>
      </c>
      <c r="B622" s="142">
        <f t="shared" si="400"/>
        <v>145</v>
      </c>
      <c r="C622" s="62" t="s">
        <v>52</v>
      </c>
      <c r="D622" s="62" t="s">
        <v>720</v>
      </c>
      <c r="E622" s="123">
        <v>1981</v>
      </c>
      <c r="F622" s="123">
        <v>2013</v>
      </c>
      <c r="G622" s="123" t="s">
        <v>43</v>
      </c>
      <c r="H622" s="123">
        <v>5</v>
      </c>
      <c r="I622" s="123">
        <v>4</v>
      </c>
      <c r="J622" s="64">
        <v>4887.3</v>
      </c>
      <c r="K622" s="64">
        <v>4312.8999999999996</v>
      </c>
      <c r="L622" s="64">
        <v>0</v>
      </c>
      <c r="M622" s="124">
        <v>194</v>
      </c>
      <c r="N622" s="63">
        <f t="shared" ref="N622:N635" si="413">SUM(O622:T622)</f>
        <v>72996954.546168298</v>
      </c>
      <c r="O622" s="64"/>
      <c r="P622" s="65">
        <v>9934187.5640000012</v>
      </c>
      <c r="Q622" s="65"/>
      <c r="R622" s="65">
        <f>+AR622</f>
        <v>461911.58999999991</v>
      </c>
      <c r="S622" s="65">
        <f>+AS622</f>
        <v>12565959.739999996</v>
      </c>
      <c r="T622" s="65">
        <f>+'Приложение №2'!E631-'Приложение №1'!P622-'Приложение №1'!R622-'Приложение №1'!S622</f>
        <v>50034895.652168296</v>
      </c>
      <c r="U622" s="65">
        <f t="shared" si="390"/>
        <v>16925.260160487909</v>
      </c>
      <c r="V622" s="65">
        <v>1306.2830200640001</v>
      </c>
      <c r="W622" s="126">
        <v>2024</v>
      </c>
      <c r="X622" s="127" t="e">
        <f>+#REF!-'[1]Приложение №1'!$P215</f>
        <v>#REF!</v>
      </c>
      <c r="Z622" s="63">
        <f t="shared" ref="Z622:Z634" si="414">SUM(AA622:AO622)</f>
        <v>78714458.100000009</v>
      </c>
      <c r="AA622" s="64">
        <v>7207971.2584861796</v>
      </c>
      <c r="AB622" s="64">
        <v>4168566.8282411997</v>
      </c>
      <c r="AC622" s="64">
        <v>4406483.7908326201</v>
      </c>
      <c r="AD622" s="64">
        <v>3359981.3480309998</v>
      </c>
      <c r="AE622" s="64">
        <v>1342243.77142212</v>
      </c>
      <c r="AF622" s="64"/>
      <c r="AG622" s="64">
        <v>358162.19323499996</v>
      </c>
      <c r="AH622" s="64">
        <v>0</v>
      </c>
      <c r="AI622" s="64">
        <v>12831286.273936201</v>
      </c>
      <c r="AJ622" s="64">
        <v>0</v>
      </c>
      <c r="AK622" s="64">
        <v>24912015.084657121</v>
      </c>
      <c r="AL622" s="64">
        <v>9797576.0184224993</v>
      </c>
      <c r="AM622" s="64">
        <v>8047601.1061000004</v>
      </c>
      <c r="AN622" s="65">
        <v>787144.58100000001</v>
      </c>
      <c r="AO622" s="66">
        <v>1495425.8456360602</v>
      </c>
      <c r="AP622" s="128">
        <f>+N622-'Приложение №2'!E631</f>
        <v>0</v>
      </c>
      <c r="AQ622" s="127">
        <f>2437871.1-R321</f>
        <v>1707990.4354571202</v>
      </c>
      <c r="AR622" s="25">
        <f>+(K622*10.5+L622*21)*12*0.85</f>
        <v>461911.58999999991</v>
      </c>
      <c r="AS622" s="25">
        <f>+(K622*10.5+L622*21)*12*30-S321</f>
        <v>12565959.739999996</v>
      </c>
      <c r="AT622" s="127">
        <f t="shared" si="394"/>
        <v>0</v>
      </c>
      <c r="AU622" s="127">
        <f>+P622-'[6]Приложение №1'!$P589</f>
        <v>0</v>
      </c>
      <c r="AV622" s="127">
        <f>+Q622-'[6]Приложение №1'!$Q589</f>
        <v>0</v>
      </c>
      <c r="AW622" s="88">
        <f t="shared" si="412"/>
        <v>72996954.546168298</v>
      </c>
      <c r="AX622" s="64">
        <v>13252960.973482361</v>
      </c>
      <c r="AY622" s="64">
        <v>5463949.4500000002</v>
      </c>
      <c r="AZ622" s="64">
        <v>5779912.4346651649</v>
      </c>
      <c r="BA622" s="64">
        <v>4539383.7009658208</v>
      </c>
      <c r="BB622" s="64">
        <v>1746367.9118282564</v>
      </c>
      <c r="BC622" s="64"/>
      <c r="BD622" s="64">
        <v>358162.19323499996</v>
      </c>
      <c r="BE622" s="64">
        <v>0</v>
      </c>
      <c r="BF622" s="64">
        <v>24547082.889778178</v>
      </c>
      <c r="BG622" s="64">
        <v>0</v>
      </c>
      <c r="BH622" s="64"/>
      <c r="BI622" s="64">
        <v>13819375.891313059</v>
      </c>
      <c r="BJ622" s="64">
        <v>1237123.4752559615</v>
      </c>
      <c r="BK622" s="65">
        <v>730811.92458634079</v>
      </c>
      <c r="BL622" s="66">
        <v>1521823.701058144</v>
      </c>
    </row>
    <row r="623" spans="1:64" x14ac:dyDescent="0.25">
      <c r="A623" s="141">
        <f t="shared" si="399"/>
        <v>604</v>
      </c>
      <c r="B623" s="142">
        <f t="shared" si="400"/>
        <v>146</v>
      </c>
      <c r="C623" s="62" t="s">
        <v>52</v>
      </c>
      <c r="D623" s="62" t="s">
        <v>246</v>
      </c>
      <c r="E623" s="123">
        <v>1963</v>
      </c>
      <c r="F623" s="123">
        <v>2005</v>
      </c>
      <c r="G623" s="123" t="s">
        <v>43</v>
      </c>
      <c r="H623" s="123">
        <v>4</v>
      </c>
      <c r="I623" s="123">
        <v>2</v>
      </c>
      <c r="J623" s="64">
        <v>1240.4000000000001</v>
      </c>
      <c r="K623" s="64">
        <v>1075.8</v>
      </c>
      <c r="L623" s="64">
        <v>111.9</v>
      </c>
      <c r="M623" s="124">
        <v>70</v>
      </c>
      <c r="N623" s="95">
        <f>+P623+Q623+R623+S623+T623</f>
        <v>4210943.8804099718</v>
      </c>
      <c r="O623" s="64"/>
      <c r="P623" s="65"/>
      <c r="Q623" s="65"/>
      <c r="R623" s="65">
        <f>+AQ623+AR623-247714.13</f>
        <v>554474.5199999999</v>
      </c>
      <c r="S623" s="65">
        <f>+AS623</f>
        <v>3235562.76</v>
      </c>
      <c r="T623" s="65">
        <f>+'Приложение №2'!E632-'Приложение №1'!P623-'Приложение №1'!Q623-'Приложение №1'!R623-'Приложение №1'!S623</f>
        <v>420906.60040997202</v>
      </c>
      <c r="U623" s="64">
        <f>$N623/($K623+$L623)</f>
        <v>3545.4608743032513</v>
      </c>
      <c r="V623" s="64">
        <f>$N623/($K623+$L623)</f>
        <v>3545.4608743032513</v>
      </c>
      <c r="W623" s="126">
        <v>2024</v>
      </c>
      <c r="X623" s="127" t="e">
        <f>+#REF!-'[1]Приложение №1'!$P1641</f>
        <v>#REF!</v>
      </c>
      <c r="Z623" s="63">
        <f>SUM(AA623:AO623)</f>
        <v>6371609.4744707597</v>
      </c>
      <c r="AA623" s="64">
        <v>2696472.9036772796</v>
      </c>
      <c r="AB623" s="64">
        <v>960864.14913719997</v>
      </c>
      <c r="AC623" s="64"/>
      <c r="AD623" s="64">
        <v>628498.13628335996</v>
      </c>
      <c r="AE623" s="64">
        <v>384538.10584644001</v>
      </c>
      <c r="AF623" s="64"/>
      <c r="AG623" s="64">
        <v>103471.04618424</v>
      </c>
      <c r="AH623" s="64">
        <v>0</v>
      </c>
      <c r="AI623" s="64"/>
      <c r="AJ623" s="64">
        <v>0</v>
      </c>
      <c r="AK623" s="64">
        <v>0</v>
      </c>
      <c r="AL623" s="64">
        <v>0</v>
      </c>
      <c r="AM623" s="64">
        <v>1240567.6336999999</v>
      </c>
      <c r="AN623" s="65">
        <v>123050.61470000001</v>
      </c>
      <c r="AO623" s="66">
        <v>234146.88494223999</v>
      </c>
      <c r="AP623" s="128">
        <f>+N623-'Приложение №2'!E632</f>
        <v>0</v>
      </c>
      <c r="AQ623" s="23">
        <v>669629.44999999995</v>
      </c>
      <c r="AR623" s="25">
        <f>+(K623*10+L623*20)*12*0.85</f>
        <v>132559.19999999998</v>
      </c>
      <c r="AS623" s="25">
        <f>+(K623*10+L623*20)*12*30-1442997.24</f>
        <v>3235562.76</v>
      </c>
      <c r="AT623" s="127">
        <f>+S623-AS623</f>
        <v>0</v>
      </c>
      <c r="AU623" s="127">
        <f>+P623-'[6]Приложение №1'!$P297</f>
        <v>-4427463.1917000003</v>
      </c>
      <c r="AV623" s="127">
        <f>+Q623-'[6]Приложение №1'!$Q297</f>
        <v>0</v>
      </c>
      <c r="AW623" s="63">
        <f>SUBTOTAL(9,AX623:BL623)</f>
        <v>4210943.8804099718</v>
      </c>
      <c r="AX623" s="64">
        <v>3372340.0006102221</v>
      </c>
      <c r="AY623" s="64"/>
      <c r="AZ623" s="64"/>
      <c r="BA623" s="64"/>
      <c r="BB623" s="71"/>
      <c r="BC623" s="64"/>
      <c r="BD623" s="64"/>
      <c r="BE623" s="64">
        <v>0</v>
      </c>
      <c r="BF623" s="64"/>
      <c r="BG623" s="64">
        <v>0</v>
      </c>
      <c r="BH623" s="64">
        <v>0</v>
      </c>
      <c r="BI623" s="64">
        <v>0</v>
      </c>
      <c r="BJ623" s="64">
        <v>513326.799</v>
      </c>
      <c r="BK623" s="65">
        <v>73858.718200000003</v>
      </c>
      <c r="BL623" s="66">
        <v>251418.36259974982</v>
      </c>
    </row>
    <row r="624" spans="1:64" s="74" customFormat="1" x14ac:dyDescent="0.25">
      <c r="A624" s="141">
        <f t="shared" si="399"/>
        <v>605</v>
      </c>
      <c r="B624" s="142">
        <f t="shared" si="400"/>
        <v>147</v>
      </c>
      <c r="C624" s="62" t="s">
        <v>94</v>
      </c>
      <c r="D624" s="62" t="s">
        <v>721</v>
      </c>
      <c r="E624" s="123" t="s">
        <v>115</v>
      </c>
      <c r="F624" s="123"/>
      <c r="G624" s="123" t="s">
        <v>43</v>
      </c>
      <c r="H624" s="123" t="s">
        <v>105</v>
      </c>
      <c r="I624" s="123" t="s">
        <v>98</v>
      </c>
      <c r="J624" s="64">
        <v>2017.1</v>
      </c>
      <c r="K624" s="64">
        <v>1568.7</v>
      </c>
      <c r="L624" s="64">
        <v>241.9</v>
      </c>
      <c r="M624" s="124">
        <v>64</v>
      </c>
      <c r="N624" s="95">
        <f t="shared" ref="N624" si="415">+P624+Q624+R624+S624+T624</f>
        <v>23398184.571970925</v>
      </c>
      <c r="O624" s="64">
        <v>0</v>
      </c>
      <c r="P624" s="65">
        <v>6968602.897110614</v>
      </c>
      <c r="Q624" s="65">
        <v>0</v>
      </c>
      <c r="R624" s="65">
        <f>+AR624</f>
        <v>209355</v>
      </c>
      <c r="S624" s="65">
        <f>+AS624</f>
        <v>0</v>
      </c>
      <c r="T624" s="65">
        <f>+'Приложение №2'!E633-'Приложение №1'!P624-'Приложение №1'!R624-'Приложение №1'!S624</f>
        <v>16220226.67486031</v>
      </c>
      <c r="U624" s="64">
        <f t="shared" ref="U624:V624" si="416">$N624/($K624+$L624)</f>
        <v>12922.889965741148</v>
      </c>
      <c r="V624" s="64">
        <f t="shared" si="416"/>
        <v>12922.889965741148</v>
      </c>
      <c r="W624" s="126">
        <v>2024</v>
      </c>
      <c r="X624" s="74">
        <v>737547.36</v>
      </c>
      <c r="Y624" s="74">
        <f>+(K624*9.1+L624*18.19)*12</f>
        <v>224103.97199999998</v>
      </c>
      <c r="AA624" s="129">
        <f>+N624-'[5]Приложение № 2'!E644</f>
        <v>23398184.571970925</v>
      </c>
      <c r="AD624" s="129">
        <f>+N624-'[5]Приложение № 2'!E644</f>
        <v>23398184.571970925</v>
      </c>
      <c r="AP624" s="128">
        <f>+N624-'Приложение №2'!E633</f>
        <v>0</v>
      </c>
      <c r="AQ624" s="143">
        <f>1030579.29-R323</f>
        <v>-209355</v>
      </c>
      <c r="AR624" s="25">
        <f t="shared" ref="AR624" si="417">+(K624*10+L624*20)*12*0.85</f>
        <v>209355</v>
      </c>
      <c r="AS624" s="25">
        <f>+(K624*10+L624*20)*12*30-S323</f>
        <v>0</v>
      </c>
      <c r="AT624" s="127">
        <f t="shared" ref="AT624" si="418">+S624-AS624</f>
        <v>0</v>
      </c>
      <c r="AU624" s="127">
        <f>+P624-'[6]Приложение №1'!$P659</f>
        <v>3601123.5787653793</v>
      </c>
      <c r="AV624" s="127">
        <f>+Q624-'[6]Приложение №1'!$Q659</f>
        <v>0</v>
      </c>
      <c r="AW624" s="63">
        <f t="shared" ref="AW624" si="419">SUBTOTAL(9,AX624:BL624)</f>
        <v>23398184.571970925</v>
      </c>
      <c r="AX624" s="64">
        <v>5140994.1947502466</v>
      </c>
      <c r="AY624" s="64"/>
      <c r="AZ624" s="64"/>
      <c r="BA624" s="64"/>
      <c r="BB624" s="64"/>
      <c r="BC624" s="64"/>
      <c r="BD624" s="64">
        <v>197263.76375642995</v>
      </c>
      <c r="BE624" s="64"/>
      <c r="BF624" s="64"/>
      <c r="BG624" s="64"/>
      <c r="BH624" s="64">
        <v>12424389.395071501</v>
      </c>
      <c r="BI624" s="64">
        <v>4796312.227541185</v>
      </c>
      <c r="BJ624" s="64"/>
      <c r="BK624" s="65"/>
      <c r="BL624" s="66">
        <v>839224.99085156212</v>
      </c>
    </row>
    <row r="625" spans="1:64" x14ac:dyDescent="0.25">
      <c r="A625" s="141">
        <f t="shared" si="399"/>
        <v>606</v>
      </c>
      <c r="B625" s="142">
        <f t="shared" si="400"/>
        <v>148</v>
      </c>
      <c r="C625" s="62" t="s">
        <v>52</v>
      </c>
      <c r="D625" s="62" t="s">
        <v>396</v>
      </c>
      <c r="E625" s="123">
        <v>1965</v>
      </c>
      <c r="F625" s="123">
        <v>2013</v>
      </c>
      <c r="G625" s="123" t="s">
        <v>43</v>
      </c>
      <c r="H625" s="123">
        <v>4</v>
      </c>
      <c r="I625" s="123">
        <v>4</v>
      </c>
      <c r="J625" s="64">
        <v>1940.1</v>
      </c>
      <c r="K625" s="64">
        <v>1500.8</v>
      </c>
      <c r="L625" s="64">
        <v>439.3</v>
      </c>
      <c r="M625" s="124">
        <v>74</v>
      </c>
      <c r="N625" s="63">
        <f t="shared" si="413"/>
        <v>5455626.652693335</v>
      </c>
      <c r="O625" s="64"/>
      <c r="P625" s="65"/>
      <c r="Q625" s="65"/>
      <c r="R625" s="65">
        <f t="shared" ref="R625:R633" si="420">+AQ625+AR625</f>
        <v>1452074.79</v>
      </c>
      <c r="S625" s="65">
        <f>+'Приложение №2'!E634-'Приложение №1'!R625</f>
        <v>4003551.8626933349</v>
      </c>
      <c r="T625" s="65">
        <v>1.1641532182693481E-10</v>
      </c>
      <c r="U625" s="65">
        <f t="shared" si="390"/>
        <v>3635.1456907604843</v>
      </c>
      <c r="V625" s="65">
        <v>1307.2830200640001</v>
      </c>
      <c r="W625" s="126">
        <v>2024</v>
      </c>
      <c r="X625" s="127" t="e">
        <f>+#REF!-'[1]Приложение №1'!$P1083</f>
        <v>#REF!</v>
      </c>
      <c r="Z625" s="63">
        <f t="shared" si="414"/>
        <v>4885248.5954377148</v>
      </c>
      <c r="AA625" s="64">
        <v>3936147.9321097154</v>
      </c>
      <c r="AB625" s="64">
        <v>0</v>
      </c>
      <c r="AC625" s="64">
        <v>0</v>
      </c>
      <c r="AD625" s="64">
        <v>0</v>
      </c>
      <c r="AE625" s="64">
        <v>687978.38608799991</v>
      </c>
      <c r="AF625" s="64"/>
      <c r="AG625" s="64">
        <v>0</v>
      </c>
      <c r="AH625" s="64">
        <v>0</v>
      </c>
      <c r="AI625" s="64">
        <v>0</v>
      </c>
      <c r="AJ625" s="64">
        <v>0</v>
      </c>
      <c r="AK625" s="64">
        <v>0</v>
      </c>
      <c r="AL625" s="64">
        <v>0</v>
      </c>
      <c r="AM625" s="64">
        <v>114738.14</v>
      </c>
      <c r="AN625" s="64">
        <v>45263.86</v>
      </c>
      <c r="AO625" s="66">
        <v>101120.27724</v>
      </c>
      <c r="AP625" s="128">
        <f>+N625-'Приложение №2'!E634</f>
        <v>0</v>
      </c>
      <c r="AQ625" s="23">
        <f>1284501.86-87260.81</f>
        <v>1197241.05</v>
      </c>
      <c r="AR625" s="25">
        <f>+(K625*10.5+L625*21)*12*0.85</f>
        <v>254833.74000000002</v>
      </c>
      <c r="AS625" s="25">
        <f>+(K625*10.5+L625*21)*12*30</f>
        <v>8994132</v>
      </c>
      <c r="AT625" s="127">
        <f t="shared" si="394"/>
        <v>-4990580.1373066651</v>
      </c>
      <c r="AU625" s="127">
        <f>+P625-'[6]Приложение №1'!$P590</f>
        <v>0</v>
      </c>
      <c r="AV625" s="127">
        <f>+Q625-'[6]Приложение №1'!$Q590</f>
        <v>0</v>
      </c>
      <c r="AW625" s="88">
        <f t="shared" si="412"/>
        <v>5455626.652693335</v>
      </c>
      <c r="AX625" s="64">
        <v>5002408.7896594871</v>
      </c>
      <c r="AY625" s="64">
        <v>0</v>
      </c>
      <c r="AZ625" s="64">
        <v>0</v>
      </c>
      <c r="BA625" s="64">
        <v>0</v>
      </c>
      <c r="BB625" s="64"/>
      <c r="BC625" s="64"/>
      <c r="BD625" s="64">
        <v>181362.34506279053</v>
      </c>
      <c r="BE625" s="64">
        <v>0</v>
      </c>
      <c r="BF625" s="64">
        <v>0</v>
      </c>
      <c r="BG625" s="64">
        <v>0</v>
      </c>
      <c r="BH625" s="64">
        <v>0</v>
      </c>
      <c r="BI625" s="64">
        <v>0</v>
      </c>
      <c r="BJ625" s="64">
        <v>114738.14</v>
      </c>
      <c r="BK625" s="64">
        <v>45263.86</v>
      </c>
      <c r="BL625" s="66">
        <v>111853.51797105787</v>
      </c>
    </row>
    <row r="626" spans="1:64" x14ac:dyDescent="0.25">
      <c r="A626" s="141">
        <f t="shared" si="399"/>
        <v>607</v>
      </c>
      <c r="B626" s="142">
        <f t="shared" si="400"/>
        <v>149</v>
      </c>
      <c r="C626" s="62" t="s">
        <v>52</v>
      </c>
      <c r="D626" s="62" t="s">
        <v>1141</v>
      </c>
      <c r="E626" s="123">
        <v>1975</v>
      </c>
      <c r="F626" s="123">
        <v>2013</v>
      </c>
      <c r="G626" s="123" t="s">
        <v>43</v>
      </c>
      <c r="H626" s="123">
        <v>4</v>
      </c>
      <c r="I626" s="123">
        <v>3</v>
      </c>
      <c r="J626" s="64">
        <v>2508.8000000000002</v>
      </c>
      <c r="K626" s="64">
        <v>1514.2</v>
      </c>
      <c r="L626" s="64">
        <v>994.6</v>
      </c>
      <c r="M626" s="124">
        <v>75</v>
      </c>
      <c r="N626" s="63">
        <f t="shared" si="413"/>
        <v>7038538.1019435525</v>
      </c>
      <c r="O626" s="64"/>
      <c r="P626" s="65"/>
      <c r="Q626" s="65"/>
      <c r="R626" s="65">
        <f t="shared" si="420"/>
        <v>1959164.1099999999</v>
      </c>
      <c r="S626" s="65">
        <f>+'Приложение №2'!E635-'Приложение №1'!R626</f>
        <v>5079373.9919435531</v>
      </c>
      <c r="T626" s="65">
        <v>0</v>
      </c>
      <c r="U626" s="65">
        <f t="shared" si="390"/>
        <v>4648.3543137918059</v>
      </c>
      <c r="V626" s="65">
        <v>1308.2830200640001</v>
      </c>
      <c r="W626" s="126">
        <v>2024</v>
      </c>
      <c r="X626" s="127" t="e">
        <f>+#REF!-'[1]Приложение №1'!$P1084</f>
        <v>#REF!</v>
      </c>
      <c r="Z626" s="63">
        <f t="shared" si="414"/>
        <v>4819950.573373301</v>
      </c>
      <c r="AA626" s="64">
        <v>3881391.7568713003</v>
      </c>
      <c r="AB626" s="64">
        <v>0</v>
      </c>
      <c r="AC626" s="64">
        <v>0</v>
      </c>
      <c r="AD626" s="64">
        <v>0</v>
      </c>
      <c r="AE626" s="64">
        <v>673980.27639599994</v>
      </c>
      <c r="AF626" s="64"/>
      <c r="AG626" s="64">
        <v>0</v>
      </c>
      <c r="AH626" s="64">
        <v>0</v>
      </c>
      <c r="AI626" s="64">
        <v>0</v>
      </c>
      <c r="AJ626" s="64">
        <v>0</v>
      </c>
      <c r="AK626" s="64">
        <v>0</v>
      </c>
      <c r="AL626" s="64">
        <v>0</v>
      </c>
      <c r="AM626" s="64">
        <v>119126.95999999999</v>
      </c>
      <c r="AN626" s="64">
        <v>45834.82</v>
      </c>
      <c r="AO626" s="66">
        <v>99616.760106000002</v>
      </c>
      <c r="AP626" s="128">
        <f>+N626-'Приложение №2'!E635</f>
        <v>0</v>
      </c>
      <c r="AQ626" s="23">
        <f>1675697.08-91747.11</f>
        <v>1583949.97</v>
      </c>
      <c r="AR626" s="25">
        <f t="shared" ref="AR626:AR635" si="421">+(K626*10.5+L626*21)*12*0.85</f>
        <v>375214.14</v>
      </c>
      <c r="AS626" s="25">
        <f>+(K626*10.5+L626*21)*12*30</f>
        <v>13242852</v>
      </c>
      <c r="AT626" s="127">
        <f t="shared" si="394"/>
        <v>-8163478.0080564469</v>
      </c>
      <c r="AU626" s="127">
        <f>+P626-'[6]Приложение №1'!$P591</f>
        <v>0</v>
      </c>
      <c r="AV626" s="127">
        <f>+Q626-'[6]Приложение №1'!$Q591</f>
        <v>0</v>
      </c>
      <c r="AW626" s="88">
        <f t="shared" si="412"/>
        <v>7038538.1019435525</v>
      </c>
      <c r="AX626" s="64">
        <v>6493512.7739412477</v>
      </c>
      <c r="AY626" s="64">
        <v>0</v>
      </c>
      <c r="AZ626" s="64">
        <v>0</v>
      </c>
      <c r="BA626" s="64">
        <v>0</v>
      </c>
      <c r="BB626" s="64"/>
      <c r="BC626" s="64"/>
      <c r="BD626" s="64">
        <v>234524.94783440491</v>
      </c>
      <c r="BE626" s="64">
        <v>0</v>
      </c>
      <c r="BF626" s="64">
        <v>0</v>
      </c>
      <c r="BG626" s="64">
        <v>0</v>
      </c>
      <c r="BH626" s="64">
        <v>0</v>
      </c>
      <c r="BI626" s="64">
        <v>0</v>
      </c>
      <c r="BJ626" s="64">
        <v>119126.95999999999</v>
      </c>
      <c r="BK626" s="64">
        <v>45834.82</v>
      </c>
      <c r="BL626" s="66">
        <v>145538.60016789901</v>
      </c>
    </row>
    <row r="627" spans="1:64" x14ac:dyDescent="0.25">
      <c r="A627" s="141">
        <f t="shared" si="399"/>
        <v>608</v>
      </c>
      <c r="B627" s="142">
        <f t="shared" si="400"/>
        <v>150</v>
      </c>
      <c r="C627" s="62" t="s">
        <v>52</v>
      </c>
      <c r="D627" s="62" t="s">
        <v>697</v>
      </c>
      <c r="E627" s="123">
        <v>1965</v>
      </c>
      <c r="F627" s="123">
        <v>2005</v>
      </c>
      <c r="G627" s="123" t="s">
        <v>43</v>
      </c>
      <c r="H627" s="123">
        <v>4</v>
      </c>
      <c r="I627" s="123">
        <v>4</v>
      </c>
      <c r="J627" s="64">
        <v>2661.8</v>
      </c>
      <c r="K627" s="64">
        <v>2220.4</v>
      </c>
      <c r="L627" s="64">
        <v>229.71</v>
      </c>
      <c r="M627" s="124">
        <v>111</v>
      </c>
      <c r="N627" s="63">
        <f t="shared" si="413"/>
        <v>27045204.900675528</v>
      </c>
      <c r="O627" s="64"/>
      <c r="P627" s="65">
        <v>4053855.5148114995</v>
      </c>
      <c r="Q627" s="65"/>
      <c r="R627" s="65">
        <f t="shared" si="420"/>
        <v>258323.81636</v>
      </c>
      <c r="S627" s="65">
        <f>+AS627</f>
        <v>0</v>
      </c>
      <c r="T627" s="65">
        <f>+'Приложение №2'!E636-'Приложение №1'!P627-'Приложение №1'!Q627-'Приложение №1'!R627-'Приложение №1'!S627</f>
        <v>22733025.56950403</v>
      </c>
      <c r="U627" s="65">
        <f t="shared" si="390"/>
        <v>12180.33007596628</v>
      </c>
      <c r="V627" s="65">
        <v>1309.2830200640001</v>
      </c>
      <c r="W627" s="126">
        <v>2024</v>
      </c>
      <c r="X627" s="127" t="e">
        <f>+#REF!-'[1]Приложение №1'!$P1671</f>
        <v>#REF!</v>
      </c>
      <c r="Z627" s="63">
        <f t="shared" si="414"/>
        <v>26489548.390000001</v>
      </c>
      <c r="AA627" s="64">
        <v>5804794.2058142396</v>
      </c>
      <c r="AB627" s="64">
        <v>2068486.8169081199</v>
      </c>
      <c r="AC627" s="64">
        <v>2161108.4722953597</v>
      </c>
      <c r="AD627" s="64">
        <v>1352990.5470060001</v>
      </c>
      <c r="AE627" s="64">
        <v>827809.00358814001</v>
      </c>
      <c r="AF627" s="64"/>
      <c r="AG627" s="64">
        <v>222745.84764851996</v>
      </c>
      <c r="AH627" s="64">
        <v>0</v>
      </c>
      <c r="AI627" s="64">
        <v>10612047.031450199</v>
      </c>
      <c r="AJ627" s="64">
        <v>0</v>
      </c>
      <c r="AK627" s="64">
        <v>0</v>
      </c>
      <c r="AL627" s="64">
        <v>0</v>
      </c>
      <c r="AM627" s="64">
        <v>2670614.5608000001</v>
      </c>
      <c r="AN627" s="65">
        <v>264895.48389999999</v>
      </c>
      <c r="AO627" s="66">
        <v>504056.42058942007</v>
      </c>
      <c r="AP627" s="128">
        <f>+N627-'Приложение №2'!E636</f>
        <v>0</v>
      </c>
      <c r="AQ627" s="127">
        <f>1589432.29-R106</f>
        <v>-28684.905640000012</v>
      </c>
      <c r="AR627" s="25">
        <f t="shared" si="421"/>
        <v>287008.72200000001</v>
      </c>
      <c r="AS627" s="25">
        <f>+(K627*10.5+L627*21)*12*30-S324</f>
        <v>0</v>
      </c>
      <c r="AT627" s="127">
        <f t="shared" si="394"/>
        <v>0</v>
      </c>
      <c r="AU627" s="127">
        <f>+P627-'[6]Приложение №1'!$P592</f>
        <v>0</v>
      </c>
      <c r="AV627" s="127">
        <f>+Q627-'[6]Приложение №1'!$Q592</f>
        <v>0</v>
      </c>
      <c r="AW627" s="88">
        <f t="shared" si="412"/>
        <v>27045204.900675531</v>
      </c>
      <c r="AX627" s="64"/>
      <c r="AY627" s="64">
        <v>2813313.3875597478</v>
      </c>
      <c r="AZ627" s="64"/>
      <c r="BA627" s="64">
        <v>2267584.4522833321</v>
      </c>
      <c r="BB627" s="64"/>
      <c r="BC627" s="64"/>
      <c r="BD627" s="64"/>
      <c r="BE627" s="64">
        <v>0</v>
      </c>
      <c r="BF627" s="64"/>
      <c r="BG627" s="64">
        <v>0</v>
      </c>
      <c r="BH627" s="64">
        <v>16812725.450546023</v>
      </c>
      <c r="BI627" s="64"/>
      <c r="BJ627" s="64">
        <v>3718496.5709544048</v>
      </c>
      <c r="BK627" s="65">
        <v>411105.06146944402</v>
      </c>
      <c r="BL627" s="66">
        <v>1021979.9778625823</v>
      </c>
    </row>
    <row r="628" spans="1:64" x14ac:dyDescent="0.25">
      <c r="A628" s="141">
        <f t="shared" si="399"/>
        <v>609</v>
      </c>
      <c r="B628" s="142">
        <f t="shared" si="400"/>
        <v>151</v>
      </c>
      <c r="C628" s="62" t="s">
        <v>52</v>
      </c>
      <c r="D628" s="62" t="s">
        <v>547</v>
      </c>
      <c r="E628" s="123">
        <v>1977</v>
      </c>
      <c r="F628" s="123">
        <v>2013</v>
      </c>
      <c r="G628" s="123" t="s">
        <v>43</v>
      </c>
      <c r="H628" s="123">
        <v>4</v>
      </c>
      <c r="I628" s="123">
        <v>4</v>
      </c>
      <c r="J628" s="64">
        <v>3916.4</v>
      </c>
      <c r="K628" s="64">
        <v>3440.3</v>
      </c>
      <c r="L628" s="64">
        <v>0</v>
      </c>
      <c r="M628" s="124">
        <v>163</v>
      </c>
      <c r="N628" s="95">
        <f t="shared" ref="N628" si="422">+P628+Q628+R628+S628+T628</f>
        <v>6359442.837614039</v>
      </c>
      <c r="O628" s="64"/>
      <c r="P628" s="65">
        <v>3132903.93</v>
      </c>
      <c r="Q628" s="65"/>
      <c r="R628" s="65">
        <f>+AQ628+AR628+126392.79</f>
        <v>1967138.52</v>
      </c>
      <c r="S628" s="65">
        <v>770890.55</v>
      </c>
      <c r="T628" s="65">
        <f>+'Приложение №2'!E637-'Приложение №1'!P628-'Приложение №1'!R628-'Приложение №1'!S628</f>
        <v>488509.83761403873</v>
      </c>
      <c r="U628" s="64">
        <f t="shared" ref="U628:V628" si="423">$N628/($K628+$L628)</f>
        <v>1848.5140358730455</v>
      </c>
      <c r="V628" s="64">
        <f t="shared" si="423"/>
        <v>1848.5140358730455</v>
      </c>
      <c r="W628" s="126">
        <v>2024</v>
      </c>
      <c r="X628" s="127" t="e">
        <f>+#REF!-'[1]Приложение №1'!$P1682</f>
        <v>#REF!</v>
      </c>
      <c r="Z628" s="63">
        <f t="shared" si="414"/>
        <v>62685332.069999993</v>
      </c>
      <c r="AA628" s="64">
        <v>5740166.195995139</v>
      </c>
      <c r="AB628" s="64">
        <v>3319695.0395049001</v>
      </c>
      <c r="AC628" s="64">
        <v>3509163.4526478597</v>
      </c>
      <c r="AD628" s="64">
        <v>2675766.9644319597</v>
      </c>
      <c r="AE628" s="64">
        <v>1068914.1259818</v>
      </c>
      <c r="AF628" s="64"/>
      <c r="AG628" s="64">
        <v>285227.34661260003</v>
      </c>
      <c r="AH628" s="64">
        <v>0</v>
      </c>
      <c r="AI628" s="64">
        <v>10218369.797231399</v>
      </c>
      <c r="AJ628" s="64">
        <v>0</v>
      </c>
      <c r="AK628" s="64">
        <v>19839022.919366278</v>
      </c>
      <c r="AL628" s="64">
        <v>7802433.2655801</v>
      </c>
      <c r="AM628" s="64">
        <v>6408816.8779000007</v>
      </c>
      <c r="AN628" s="65">
        <v>626853.32070000004</v>
      </c>
      <c r="AO628" s="66">
        <v>1190902.7640479603</v>
      </c>
      <c r="AP628" s="128">
        <f>+N628-'Приложение №2'!E637</f>
        <v>0</v>
      </c>
      <c r="AQ628" s="127">
        <f>1681538.39-R325</f>
        <v>1489835.1300000001</v>
      </c>
      <c r="AR628" s="25">
        <f t="shared" ref="AR628" si="424">+(K628*10+L628*20)*12*0.85</f>
        <v>350910.6</v>
      </c>
      <c r="AS628" s="25">
        <f>+(K628*10+L628*20)*12*30-S325</f>
        <v>12246295.399686638</v>
      </c>
      <c r="AT628" s="127">
        <f t="shared" si="394"/>
        <v>-11475404.849686638</v>
      </c>
      <c r="AU628" s="127">
        <f>+P628-'[6]Приложение №1'!$P663</f>
        <v>3132903.93</v>
      </c>
      <c r="AV628" s="127">
        <f>+Q628-'[6]Приложение №1'!$Q663</f>
        <v>0</v>
      </c>
      <c r="AW628" s="63">
        <f t="shared" si="412"/>
        <v>6359442.837614039</v>
      </c>
      <c r="AX628" s="64">
        <v>5740166.195995139</v>
      </c>
      <c r="AY628" s="64"/>
      <c r="AZ628" s="64"/>
      <c r="BA628" s="71"/>
      <c r="BB628" s="64"/>
      <c r="BC628" s="64"/>
      <c r="BD628" s="64">
        <v>285227.34661260003</v>
      </c>
      <c r="BE628" s="64"/>
      <c r="BF628" s="64"/>
      <c r="BG628" s="64"/>
      <c r="BH628" s="64"/>
      <c r="BI628" s="64"/>
      <c r="BJ628" s="64"/>
      <c r="BK628" s="65"/>
      <c r="BL628" s="66">
        <v>334049.29500629997</v>
      </c>
    </row>
    <row r="629" spans="1:64" x14ac:dyDescent="0.25">
      <c r="A629" s="141">
        <f t="shared" si="399"/>
        <v>610</v>
      </c>
      <c r="B629" s="142">
        <f t="shared" si="400"/>
        <v>152</v>
      </c>
      <c r="C629" s="62" t="s">
        <v>52</v>
      </c>
      <c r="D629" s="62" t="s">
        <v>1090</v>
      </c>
      <c r="E629" s="123">
        <v>1964</v>
      </c>
      <c r="F629" s="123">
        <v>2009</v>
      </c>
      <c r="G629" s="123" t="s">
        <v>43</v>
      </c>
      <c r="H629" s="123">
        <v>4</v>
      </c>
      <c r="I629" s="123">
        <v>2</v>
      </c>
      <c r="J629" s="64">
        <v>1462.3</v>
      </c>
      <c r="K629" s="64">
        <v>1198.5999999999999</v>
      </c>
      <c r="L629" s="64">
        <v>42.9</v>
      </c>
      <c r="M629" s="124">
        <v>60</v>
      </c>
      <c r="N629" s="63">
        <f t="shared" si="413"/>
        <v>17306589.959952999</v>
      </c>
      <c r="O629" s="64"/>
      <c r="P629" s="65">
        <v>3352595.9358166102</v>
      </c>
      <c r="Q629" s="65"/>
      <c r="R629" s="65">
        <f>+AR629</f>
        <v>137559.24</v>
      </c>
      <c r="S629" s="65">
        <f>+AS629</f>
        <v>0</v>
      </c>
      <c r="T629" s="65">
        <f>+'Приложение №2'!E638-'Приложение №1'!P629-'Приложение №1'!R629-'Приложение №1'!S629</f>
        <v>13816434.784136388</v>
      </c>
      <c r="U629" s="65">
        <f t="shared" si="390"/>
        <v>14439.003804399299</v>
      </c>
      <c r="V629" s="65">
        <v>1311.2830200640001</v>
      </c>
      <c r="W629" s="126">
        <v>2024</v>
      </c>
      <c r="X629" s="127" t="e">
        <f>+#REF!-'[1]Приложение №1'!$P1087</f>
        <v>#REF!</v>
      </c>
      <c r="Z629" s="63">
        <f t="shared" si="414"/>
        <v>20418803.97526928</v>
      </c>
      <c r="AA629" s="64">
        <v>3233669.8007460004</v>
      </c>
      <c r="AB629" s="64">
        <v>1144519.81959</v>
      </c>
      <c r="AC629" s="64">
        <v>1220789.9808032832</v>
      </c>
      <c r="AD629" s="64">
        <v>768385.93582799996</v>
      </c>
      <c r="AE629" s="64">
        <v>553182.05875800003</v>
      </c>
      <c r="AF629" s="64"/>
      <c r="AG629" s="64">
        <v>117081.436122</v>
      </c>
      <c r="AH629" s="64">
        <v>0</v>
      </c>
      <c r="AI629" s="64">
        <v>5981715.0371580003</v>
      </c>
      <c r="AJ629" s="64">
        <v>0</v>
      </c>
      <c r="AK629" s="64">
        <v>3107129.5399619997</v>
      </c>
      <c r="AL629" s="64">
        <v>3344141.2588049173</v>
      </c>
      <c r="AM629" s="64">
        <v>451116.49</v>
      </c>
      <c r="AN629" s="64">
        <v>71289.704895854607</v>
      </c>
      <c r="AO629" s="66">
        <v>425782.9126012288</v>
      </c>
      <c r="AP629" s="128">
        <f>+N629-'Приложение №2'!E638</f>
        <v>0</v>
      </c>
      <c r="AQ629" s="127">
        <f>686372.31-86252.57-R327</f>
        <v>-137559.24</v>
      </c>
      <c r="AR629" s="25">
        <f t="shared" si="421"/>
        <v>137559.24</v>
      </c>
      <c r="AS629" s="25">
        <f>+(K629*10.5+L629*21)*12*30-S327</f>
        <v>0</v>
      </c>
      <c r="AT629" s="127">
        <f t="shared" si="394"/>
        <v>0</v>
      </c>
      <c r="AU629" s="127">
        <f>+P629-'[6]Приложение №1'!$P594</f>
        <v>0</v>
      </c>
      <c r="AV629" s="127">
        <f>+Q629-'[6]Приложение №1'!$Q594</f>
        <v>0</v>
      </c>
      <c r="AW629" s="88">
        <f t="shared" si="412"/>
        <v>17306589.959952999</v>
      </c>
      <c r="AX629" s="64"/>
      <c r="AY629" s="64">
        <v>1549048.0710389998</v>
      </c>
      <c r="AZ629" s="64"/>
      <c r="BA629" s="64">
        <v>1294043.959488</v>
      </c>
      <c r="BB629" s="64"/>
      <c r="BC629" s="64"/>
      <c r="BD629" s="64"/>
      <c r="BE629" s="64">
        <v>0</v>
      </c>
      <c r="BF629" s="64"/>
      <c r="BG629" s="64">
        <v>0</v>
      </c>
      <c r="BH629" s="64">
        <v>9490291.0997370016</v>
      </c>
      <c r="BI629" s="64">
        <v>3959521.1427175263</v>
      </c>
      <c r="BJ629" s="64">
        <v>390060.34770000004</v>
      </c>
      <c r="BK629" s="64">
        <v>37971.527699999999</v>
      </c>
      <c r="BL629" s="66">
        <v>585653.81157147221</v>
      </c>
    </row>
    <row r="630" spans="1:64" x14ac:dyDescent="0.25">
      <c r="A630" s="141">
        <f t="shared" si="399"/>
        <v>611</v>
      </c>
      <c r="B630" s="142">
        <f t="shared" si="400"/>
        <v>153</v>
      </c>
      <c r="C630" s="62" t="s">
        <v>52</v>
      </c>
      <c r="D630" s="62" t="s">
        <v>1092</v>
      </c>
      <c r="E630" s="123">
        <v>1972</v>
      </c>
      <c r="F630" s="123">
        <v>2013</v>
      </c>
      <c r="G630" s="123" t="s">
        <v>43</v>
      </c>
      <c r="H630" s="123">
        <v>4</v>
      </c>
      <c r="I630" s="123">
        <v>4</v>
      </c>
      <c r="J630" s="64">
        <v>4681.66</v>
      </c>
      <c r="K630" s="64">
        <v>3441.2</v>
      </c>
      <c r="L630" s="64">
        <v>0</v>
      </c>
      <c r="M630" s="124">
        <v>142</v>
      </c>
      <c r="N630" s="63">
        <f t="shared" si="413"/>
        <v>8007344.662175999</v>
      </c>
      <c r="O630" s="64"/>
      <c r="P630" s="65"/>
      <c r="Q630" s="65"/>
      <c r="R630" s="65">
        <f t="shared" si="420"/>
        <v>955930.5358239999</v>
      </c>
      <c r="S630" s="65">
        <f>+'Приложение №2'!E639-'Приложение №1'!R630</f>
        <v>7051414.1263519991</v>
      </c>
      <c r="T630" s="65">
        <v>0</v>
      </c>
      <c r="U630" s="65">
        <f t="shared" si="390"/>
        <v>2326.9047605997907</v>
      </c>
      <c r="V630" s="65">
        <v>1312.2830200640001</v>
      </c>
      <c r="W630" s="126">
        <v>2024</v>
      </c>
      <c r="X630" s="127" t="e">
        <f>+#REF!-'[1]Приложение №1'!$P1166</f>
        <v>#REF!</v>
      </c>
      <c r="Z630" s="63">
        <f t="shared" si="414"/>
        <v>10554632.254175998</v>
      </c>
      <c r="AA630" s="64">
        <v>0</v>
      </c>
      <c r="AB630" s="64">
        <v>0</v>
      </c>
      <c r="AC630" s="64">
        <v>0</v>
      </c>
      <c r="AD630" s="64">
        <v>0</v>
      </c>
      <c r="AE630" s="64">
        <v>1346569.54</v>
      </c>
      <c r="AF630" s="64"/>
      <c r="AG630" s="64">
        <v>0</v>
      </c>
      <c r="AH630" s="64">
        <v>0</v>
      </c>
      <c r="AI630" s="64">
        <v>0</v>
      </c>
      <c r="AJ630" s="64">
        <v>0</v>
      </c>
      <c r="AK630" s="64">
        <v>0</v>
      </c>
      <c r="AL630" s="64">
        <v>7829891.4404087989</v>
      </c>
      <c r="AM630" s="64">
        <v>1108317.8799999999</v>
      </c>
      <c r="AN630" s="65">
        <v>92400.171999999991</v>
      </c>
      <c r="AO630" s="66">
        <v>177453.22176719998</v>
      </c>
      <c r="AP630" s="128">
        <f>+N630-'Приложение №2'!E639</f>
        <v>0</v>
      </c>
      <c r="AQ630" s="127">
        <f>2007272.49-R331</f>
        <v>587378.01582399989</v>
      </c>
      <c r="AR630" s="25">
        <f t="shared" si="421"/>
        <v>368552.51999999996</v>
      </c>
      <c r="AS630" s="25">
        <f>+(K630*10.5+L630*21)*12*30-S331</f>
        <v>13007735.999999998</v>
      </c>
      <c r="AT630" s="127">
        <f t="shared" si="394"/>
        <v>-5956321.873647999</v>
      </c>
      <c r="AU630" s="127">
        <f>+P630-'[6]Приложение №1'!$P595</f>
        <v>0</v>
      </c>
      <c r="AV630" s="127">
        <f>+Q630-'[6]Приложение №1'!$Q595</f>
        <v>0</v>
      </c>
      <c r="AW630" s="88">
        <f t="shared" si="412"/>
        <v>8007344.662175999</v>
      </c>
      <c r="AX630" s="64">
        <v>0</v>
      </c>
      <c r="AY630" s="64">
        <v>0</v>
      </c>
      <c r="AZ630" s="64">
        <v>0</v>
      </c>
      <c r="BA630" s="64">
        <v>0</v>
      </c>
      <c r="BB630" s="64"/>
      <c r="BC630" s="64"/>
      <c r="BD630" s="64"/>
      <c r="BE630" s="64">
        <v>0</v>
      </c>
      <c r="BF630" s="64">
        <v>0</v>
      </c>
      <c r="BG630" s="64">
        <v>0</v>
      </c>
      <c r="BH630" s="64">
        <v>0</v>
      </c>
      <c r="BI630" s="64">
        <v>7829891.4404087989</v>
      </c>
      <c r="BJ630" s="64"/>
      <c r="BK630" s="65"/>
      <c r="BL630" s="66">
        <v>177453.22176719998</v>
      </c>
    </row>
    <row r="631" spans="1:64" x14ac:dyDescent="0.25">
      <c r="A631" s="141">
        <f t="shared" si="399"/>
        <v>612</v>
      </c>
      <c r="B631" s="142">
        <f t="shared" si="400"/>
        <v>154</v>
      </c>
      <c r="C631" s="62" t="s">
        <v>52</v>
      </c>
      <c r="D631" s="62" t="s">
        <v>1142</v>
      </c>
      <c r="E631" s="123">
        <v>1988</v>
      </c>
      <c r="F631" s="123">
        <v>1988</v>
      </c>
      <c r="G631" s="123" t="s">
        <v>43</v>
      </c>
      <c r="H631" s="123">
        <v>4</v>
      </c>
      <c r="I631" s="123">
        <v>3</v>
      </c>
      <c r="J631" s="64">
        <v>2941.3</v>
      </c>
      <c r="K631" s="64">
        <v>2307</v>
      </c>
      <c r="L631" s="64">
        <v>634.29999999999995</v>
      </c>
      <c r="M631" s="124">
        <v>71</v>
      </c>
      <c r="N631" s="63">
        <f t="shared" si="413"/>
        <v>23173767.375</v>
      </c>
      <c r="O631" s="64"/>
      <c r="P631" s="65"/>
      <c r="Q631" s="65"/>
      <c r="R631" s="65">
        <f t="shared" si="420"/>
        <v>2507036.5499999998</v>
      </c>
      <c r="S631" s="65">
        <f>+AS631</f>
        <v>13515768.000000002</v>
      </c>
      <c r="T631" s="65">
        <f>+'Приложение №2'!E640-'Приложение №1'!P631-'Приложение №1'!Q631-'Приложение №1'!R631-'Приложение №1'!S631</f>
        <v>7150962.8249999974</v>
      </c>
      <c r="U631" s="65">
        <f t="shared" si="390"/>
        <v>10044.979356306892</v>
      </c>
      <c r="V631" s="65">
        <v>1313.2830200640001</v>
      </c>
      <c r="W631" s="126">
        <v>2024</v>
      </c>
      <c r="X631" s="127" t="e">
        <f>+#REF!-'[1]Приложение №1'!$P1092</f>
        <v>#REF!</v>
      </c>
      <c r="Z631" s="63">
        <f t="shared" si="414"/>
        <v>5881515.5899999999</v>
      </c>
      <c r="AA631" s="64">
        <v>0</v>
      </c>
      <c r="AB631" s="64">
        <v>0</v>
      </c>
      <c r="AC631" s="64">
        <v>0</v>
      </c>
      <c r="AD631" s="64">
        <v>0</v>
      </c>
      <c r="AE631" s="64">
        <v>0</v>
      </c>
      <c r="AF631" s="64"/>
      <c r="AG631" s="64">
        <v>0</v>
      </c>
      <c r="AH631" s="64">
        <v>0</v>
      </c>
      <c r="AI631" s="64">
        <v>0</v>
      </c>
      <c r="AJ631" s="64">
        <v>0</v>
      </c>
      <c r="AK631" s="64">
        <v>5547799.158590666</v>
      </c>
      <c r="AL631" s="64">
        <v>0</v>
      </c>
      <c r="AM631" s="64">
        <v>176500.30000340639</v>
      </c>
      <c r="AN631" s="64">
        <v>35897</v>
      </c>
      <c r="AO631" s="66">
        <v>121319.13140592711</v>
      </c>
      <c r="AP631" s="128">
        <f>+N631-'Приложение №2'!E640</f>
        <v>0</v>
      </c>
      <c r="AQ631" s="38">
        <v>2124089.79</v>
      </c>
      <c r="AR631" s="25">
        <f t="shared" si="421"/>
        <v>382946.76</v>
      </c>
      <c r="AS631" s="25">
        <f>+(K631*10.5+L631*21)*12*30</f>
        <v>13515768.000000002</v>
      </c>
      <c r="AT631" s="127">
        <f t="shared" si="394"/>
        <v>0</v>
      </c>
      <c r="AU631" s="127">
        <f>+P631-'[6]Приложение №1'!$P596</f>
        <v>0</v>
      </c>
      <c r="AV631" s="127">
        <f>+Q631-'[6]Приложение №1'!$Q596</f>
        <v>0</v>
      </c>
      <c r="AW631" s="88">
        <f t="shared" si="412"/>
        <v>23173767.375</v>
      </c>
      <c r="AX631" s="64">
        <v>0</v>
      </c>
      <c r="AY631" s="64">
        <v>0</v>
      </c>
      <c r="AZ631" s="64">
        <v>0</v>
      </c>
      <c r="BA631" s="64">
        <v>0</v>
      </c>
      <c r="BB631" s="64">
        <v>0</v>
      </c>
      <c r="BC631" s="64"/>
      <c r="BD631" s="64"/>
      <c r="BE631" s="64">
        <v>0</v>
      </c>
      <c r="BF631" s="64">
        <v>0</v>
      </c>
      <c r="BG631" s="64">
        <v>0</v>
      </c>
      <c r="BH631" s="64">
        <v>22469996.755391669</v>
      </c>
      <c r="BI631" s="64">
        <v>0</v>
      </c>
      <c r="BJ631" s="64">
        <v>176500.30000340639</v>
      </c>
      <c r="BK631" s="64">
        <v>35897</v>
      </c>
      <c r="BL631" s="66">
        <v>491373.31960492715</v>
      </c>
    </row>
    <row r="632" spans="1:64" s="74" customFormat="1" x14ac:dyDescent="0.25">
      <c r="A632" s="141">
        <f t="shared" si="399"/>
        <v>613</v>
      </c>
      <c r="B632" s="142">
        <f t="shared" si="400"/>
        <v>155</v>
      </c>
      <c r="C632" s="62" t="s">
        <v>52</v>
      </c>
      <c r="D632" s="62" t="s">
        <v>725</v>
      </c>
      <c r="E632" s="123" t="s">
        <v>114</v>
      </c>
      <c r="F632" s="123"/>
      <c r="G632" s="123" t="s">
        <v>43</v>
      </c>
      <c r="H632" s="123" t="s">
        <v>108</v>
      </c>
      <c r="I632" s="123" t="s">
        <v>100</v>
      </c>
      <c r="J632" s="64">
        <v>7651.5</v>
      </c>
      <c r="K632" s="64">
        <v>6138</v>
      </c>
      <c r="L632" s="64">
        <v>119</v>
      </c>
      <c r="M632" s="124">
        <v>293</v>
      </c>
      <c r="N632" s="95">
        <f t="shared" ref="N632" si="425">+P632+Q632+R632+S632+T632</f>
        <v>32024210.41064246</v>
      </c>
      <c r="O632" s="64">
        <v>0</v>
      </c>
      <c r="P632" s="65">
        <v>9563508.5829855986</v>
      </c>
      <c r="Q632" s="65">
        <v>0</v>
      </c>
      <c r="R632" s="65">
        <f>+AR632</f>
        <v>650352</v>
      </c>
      <c r="S632" s="65">
        <f>+AS632</f>
        <v>751586.41932946816</v>
      </c>
      <c r="T632" s="65">
        <f>+'Приложение №2'!E641-'Приложение №1'!P632-'Приложение №1'!R632-'Приложение №1'!S632</f>
        <v>21058763.408327393</v>
      </c>
      <c r="U632" s="64">
        <f t="shared" ref="U632:V632" si="426">$N632/($K632+$L632)</f>
        <v>5118.1413473937127</v>
      </c>
      <c r="V632" s="64">
        <f t="shared" si="426"/>
        <v>5118.1413473937127</v>
      </c>
      <c r="W632" s="126">
        <v>2024</v>
      </c>
      <c r="X632" s="74">
        <v>2205585.94</v>
      </c>
      <c r="Y632" s="74">
        <f>+(K632*9.1+L632*18.19)*12</f>
        <v>696244.91999999993</v>
      </c>
      <c r="AA632" s="129">
        <f>+N632-'[5]Приложение № 2'!E651</f>
        <v>32024210.41064246</v>
      </c>
      <c r="AD632" s="129">
        <f>+N632-'[5]Приложение № 2'!E651</f>
        <v>32024210.41064246</v>
      </c>
      <c r="AP632" s="128">
        <f>+N632-'Приложение №2'!E641</f>
        <v>0</v>
      </c>
      <c r="AQ632" s="143">
        <f>2725811.3-R340</f>
        <v>-650352</v>
      </c>
      <c r="AR632" s="25">
        <f t="shared" ref="AR632" si="427">+(K632*10+L632*20)*12*0.85</f>
        <v>650352</v>
      </c>
      <c r="AS632" s="25">
        <f>+(K632*10+L632*20)*12*30-S340</f>
        <v>751586.41932946816</v>
      </c>
      <c r="AT632" s="127">
        <f t="shared" si="394"/>
        <v>0</v>
      </c>
      <c r="AU632" s="127">
        <f>+P632-'[6]Приложение №1'!$P666</f>
        <v>6556232.6111679981</v>
      </c>
      <c r="AV632" s="127">
        <f>+Q632-'[6]Приложение №1'!$Q666</f>
        <v>0</v>
      </c>
      <c r="AW632" s="63">
        <f t="shared" si="412"/>
        <v>32024210.41064246</v>
      </c>
      <c r="AX632" s="64">
        <v>16034044.152180096</v>
      </c>
      <c r="AY632" s="64">
        <v>5691851.8389192764</v>
      </c>
      <c r="AZ632" s="64"/>
      <c r="BA632" s="64">
        <v>5790873.0293484004</v>
      </c>
      <c r="BB632" s="64">
        <v>2792950.7234944897</v>
      </c>
      <c r="BC632" s="64"/>
      <c r="BD632" s="64">
        <v>582245.94929312461</v>
      </c>
      <c r="BE632" s="64"/>
      <c r="BF632" s="64"/>
      <c r="BG632" s="64"/>
      <c r="BH632" s="72"/>
      <c r="BI632" s="64"/>
      <c r="BJ632" s="64"/>
      <c r="BK632" s="65"/>
      <c r="BL632" s="66">
        <v>1132244.7174070757</v>
      </c>
    </row>
    <row r="633" spans="1:64" x14ac:dyDescent="0.25">
      <c r="A633" s="141">
        <f t="shared" si="399"/>
        <v>614</v>
      </c>
      <c r="B633" s="142">
        <f t="shared" si="400"/>
        <v>156</v>
      </c>
      <c r="C633" s="62" t="s">
        <v>52</v>
      </c>
      <c r="D633" s="62" t="s">
        <v>700</v>
      </c>
      <c r="E633" s="123">
        <v>1993</v>
      </c>
      <c r="F633" s="123">
        <v>2013</v>
      </c>
      <c r="G633" s="123" t="s">
        <v>43</v>
      </c>
      <c r="H633" s="123">
        <v>5</v>
      </c>
      <c r="I633" s="123">
        <v>2</v>
      </c>
      <c r="J633" s="64">
        <v>2382.6999999999998</v>
      </c>
      <c r="K633" s="64">
        <v>2177.75</v>
      </c>
      <c r="L633" s="64">
        <v>0</v>
      </c>
      <c r="M633" s="124">
        <v>103</v>
      </c>
      <c r="N633" s="63">
        <f t="shared" si="413"/>
        <v>5091660.76</v>
      </c>
      <c r="O633" s="64"/>
      <c r="P633" s="65"/>
      <c r="Q633" s="65"/>
      <c r="R633" s="65">
        <f t="shared" si="420"/>
        <v>758159.98499999999</v>
      </c>
      <c r="S633" s="65">
        <f>+AS633</f>
        <v>534041.62833729945</v>
      </c>
      <c r="T633" s="65">
        <f>+'Приложение №2'!E642-'Приложение №1'!P633-'Приложение №1'!R633-'Приложение №1'!S633</f>
        <v>3799459.1466627</v>
      </c>
      <c r="U633" s="65">
        <f t="shared" si="390"/>
        <v>2338.0373137412466</v>
      </c>
      <c r="V633" s="65">
        <v>1316.2830200640001</v>
      </c>
      <c r="W633" s="126">
        <v>2024</v>
      </c>
      <c r="X633" s="127" t="e">
        <f>+#REF!-'[1]Приложение №1'!$P1484</f>
        <v>#REF!</v>
      </c>
      <c r="Z633" s="63">
        <f t="shared" si="414"/>
        <v>1112857.68</v>
      </c>
      <c r="AA633" s="64">
        <v>0</v>
      </c>
      <c r="AB633" s="64">
        <v>0</v>
      </c>
      <c r="AC633" s="64">
        <v>0</v>
      </c>
      <c r="AD633" s="64">
        <v>0</v>
      </c>
      <c r="AE633" s="64">
        <v>974016.82475999987</v>
      </c>
      <c r="AF633" s="64"/>
      <c r="AG633" s="64">
        <v>0</v>
      </c>
      <c r="AH633" s="64">
        <v>0</v>
      </c>
      <c r="AI633" s="64">
        <v>0</v>
      </c>
      <c r="AJ633" s="64">
        <v>0</v>
      </c>
      <c r="AK633" s="64">
        <v>0</v>
      </c>
      <c r="AL633" s="64">
        <v>0</v>
      </c>
      <c r="AM633" s="64">
        <v>89216.27</v>
      </c>
      <c r="AN633" s="64">
        <v>28324.81</v>
      </c>
      <c r="AO633" s="66">
        <v>21299.775239999999</v>
      </c>
      <c r="AP633" s="128">
        <f>+N633-'Приложение №2'!E642</f>
        <v>0</v>
      </c>
      <c r="AQ633" s="38">
        <f>1276512.2-R118</f>
        <v>524922.96</v>
      </c>
      <c r="AR633" s="25">
        <f t="shared" si="421"/>
        <v>233237.02499999999</v>
      </c>
      <c r="AS633" s="25">
        <f>+(K633*10.5+L633*21)*12*30-S118</f>
        <v>534041.62833729945</v>
      </c>
      <c r="AT633" s="127">
        <f t="shared" si="394"/>
        <v>0</v>
      </c>
      <c r="AU633" s="127">
        <f>+P633-'[6]Приложение №1'!$P599</f>
        <v>0</v>
      </c>
      <c r="AV633" s="127">
        <f>+Q633-'[6]Приложение №1'!$Q599</f>
        <v>0</v>
      </c>
      <c r="AW633" s="88">
        <f t="shared" si="412"/>
        <v>5091660.76</v>
      </c>
      <c r="AX633" s="64">
        <v>3286355.0600000005</v>
      </c>
      <c r="AY633" s="64">
        <v>0</v>
      </c>
      <c r="AZ633" s="64">
        <v>0</v>
      </c>
      <c r="BA633" s="64">
        <v>0</v>
      </c>
      <c r="BB633" s="64">
        <v>974016.82475999987</v>
      </c>
      <c r="BC633" s="64"/>
      <c r="BD633" s="64"/>
      <c r="BE633" s="64">
        <v>0</v>
      </c>
      <c r="BF633" s="64">
        <v>0</v>
      </c>
      <c r="BG633" s="64">
        <v>0</v>
      </c>
      <c r="BH633" s="64">
        <v>0</v>
      </c>
      <c r="BI633" s="64">
        <v>0</v>
      </c>
      <c r="BJ633" s="64">
        <f>113216.27+157569.7</f>
        <v>270785.97000000003</v>
      </c>
      <c r="BK633" s="64">
        <f>28324.81+24000</f>
        <v>52324.81</v>
      </c>
      <c r="BL633" s="66">
        <f>21299.77524+486878.32</f>
        <v>508178.09524</v>
      </c>
    </row>
    <row r="634" spans="1:64" x14ac:dyDescent="0.25">
      <c r="A634" s="141">
        <f t="shared" si="399"/>
        <v>615</v>
      </c>
      <c r="B634" s="142">
        <f t="shared" si="400"/>
        <v>157</v>
      </c>
      <c r="C634" s="62" t="s">
        <v>52</v>
      </c>
      <c r="D634" s="62" t="s">
        <v>400</v>
      </c>
      <c r="E634" s="123">
        <v>1968</v>
      </c>
      <c r="F634" s="123">
        <v>2013</v>
      </c>
      <c r="G634" s="123" t="s">
        <v>43</v>
      </c>
      <c r="H634" s="123">
        <v>4</v>
      </c>
      <c r="I634" s="123">
        <v>4</v>
      </c>
      <c r="J634" s="64">
        <v>2661.8</v>
      </c>
      <c r="K634" s="64">
        <v>2457.1999999999998</v>
      </c>
      <c r="L634" s="64">
        <v>0</v>
      </c>
      <c r="M634" s="124">
        <v>113</v>
      </c>
      <c r="N634" s="63">
        <f t="shared" si="413"/>
        <v>2536945.4940698305</v>
      </c>
      <c r="O634" s="64"/>
      <c r="P634" s="65"/>
      <c r="Q634" s="65"/>
      <c r="R634" s="65">
        <f>+AQ634+AR634</f>
        <v>1696642.8199999998</v>
      </c>
      <c r="S634" s="65">
        <f>+'Приложение №2'!E643-'Приложение №1'!R634</f>
        <v>840302.67406983068</v>
      </c>
      <c r="T634" s="65">
        <v>0</v>
      </c>
      <c r="U634" s="65">
        <f t="shared" si="390"/>
        <v>1032.4538068003544</v>
      </c>
      <c r="V634" s="65">
        <v>1317.2830200640001</v>
      </c>
      <c r="W634" s="126">
        <v>2024</v>
      </c>
      <c r="X634" s="127" t="e">
        <f>+#REF!-'[1]Приложение №1'!$P1098</f>
        <v>#REF!</v>
      </c>
      <c r="Z634" s="63">
        <f t="shared" si="414"/>
        <v>3827984.7964527905</v>
      </c>
      <c r="AA634" s="64">
        <v>0</v>
      </c>
      <c r="AB634" s="64">
        <v>2230881.5159207908</v>
      </c>
      <c r="AC634" s="64">
        <v>0</v>
      </c>
      <c r="AD634" s="64">
        <v>0</v>
      </c>
      <c r="AE634" s="64">
        <v>1122695.9924879998</v>
      </c>
      <c r="AF634" s="64"/>
      <c r="AG634" s="64">
        <v>226983.177624</v>
      </c>
      <c r="AH634" s="64">
        <v>0</v>
      </c>
      <c r="AI634" s="64">
        <v>0</v>
      </c>
      <c r="AJ634" s="64">
        <v>0</v>
      </c>
      <c r="AK634" s="64">
        <v>0</v>
      </c>
      <c r="AL634" s="64">
        <v>0</v>
      </c>
      <c r="AM634" s="64">
        <v>128061.95</v>
      </c>
      <c r="AN634" s="64">
        <v>41062.550000000003</v>
      </c>
      <c r="AO634" s="66">
        <v>78299.610419999997</v>
      </c>
      <c r="AP634" s="128">
        <f>+N634-'Приложение №2'!E643</f>
        <v>0</v>
      </c>
      <c r="AQ634" s="23">
        <v>1433476.7</v>
      </c>
      <c r="AR634" s="25">
        <f t="shared" si="421"/>
        <v>263166.11999999994</v>
      </c>
      <c r="AS634" s="25">
        <f>+(K634*10.5+L634*21)*12*30</f>
        <v>9288215.9999999981</v>
      </c>
      <c r="AT634" s="127">
        <f t="shared" si="394"/>
        <v>-8447913.325930167</v>
      </c>
      <c r="AU634" s="127">
        <f>+P634-'[6]Приложение №1'!$P600</f>
        <v>0</v>
      </c>
      <c r="AV634" s="127">
        <f>+Q634-'[6]Приложение №1'!$Q600</f>
        <v>0</v>
      </c>
      <c r="AW634" s="88">
        <f t="shared" si="412"/>
        <v>2536945.4940698305</v>
      </c>
      <c r="AX634" s="64">
        <v>0</v>
      </c>
      <c r="AY634" s="64">
        <v>2230881.5159207908</v>
      </c>
      <c r="AZ634" s="64">
        <v>0</v>
      </c>
      <c r="BA634" s="64">
        <v>0</v>
      </c>
      <c r="BB634" s="64"/>
      <c r="BC634" s="64"/>
      <c r="BD634" s="64"/>
      <c r="BE634" s="64">
        <v>0</v>
      </c>
      <c r="BF634" s="64">
        <v>0</v>
      </c>
      <c r="BG634" s="64">
        <v>0</v>
      </c>
      <c r="BH634" s="64">
        <v>0</v>
      </c>
      <c r="BI634" s="64">
        <v>0</v>
      </c>
      <c r="BJ634" s="64">
        <v>237174.32400000002</v>
      </c>
      <c r="BK634" s="64">
        <v>23717.432400000002</v>
      </c>
      <c r="BL634" s="66">
        <v>45172.221749040007</v>
      </c>
    </row>
    <row r="635" spans="1:64" s="74" customFormat="1" x14ac:dyDescent="0.25">
      <c r="A635" s="141">
        <f t="shared" si="399"/>
        <v>616</v>
      </c>
      <c r="B635" s="142">
        <f t="shared" si="400"/>
        <v>158</v>
      </c>
      <c r="C635" s="62" t="s">
        <v>94</v>
      </c>
      <c r="D635" s="62" t="s">
        <v>1143</v>
      </c>
      <c r="E635" s="123" t="s">
        <v>111</v>
      </c>
      <c r="F635" s="123"/>
      <c r="G635" s="123" t="s">
        <v>43</v>
      </c>
      <c r="H635" s="123" t="s">
        <v>108</v>
      </c>
      <c r="I635" s="123" t="s">
        <v>105</v>
      </c>
      <c r="J635" s="64">
        <v>4845.3999999999996</v>
      </c>
      <c r="K635" s="64">
        <v>4280.6000000000004</v>
      </c>
      <c r="L635" s="64">
        <v>0</v>
      </c>
      <c r="M635" s="124">
        <v>179</v>
      </c>
      <c r="N635" s="63">
        <f t="shared" si="413"/>
        <v>1970236.371824</v>
      </c>
      <c r="O635" s="64">
        <v>0</v>
      </c>
      <c r="P635" s="65"/>
      <c r="Q635" s="65">
        <v>0</v>
      </c>
      <c r="R635" s="65">
        <f>+'Приложение №2'!E644</f>
        <v>1970236.371824</v>
      </c>
      <c r="S635" s="65">
        <f>+'Приложение №2'!E644-'Приложение №1'!R635</f>
        <v>0</v>
      </c>
      <c r="T635" s="65">
        <v>0</v>
      </c>
      <c r="U635" s="65">
        <f t="shared" si="390"/>
        <v>460.27107691071342</v>
      </c>
      <c r="V635" s="65">
        <v>1319.2830200640001</v>
      </c>
      <c r="W635" s="126">
        <v>2024</v>
      </c>
      <c r="X635" s="74">
        <v>1666495.72</v>
      </c>
      <c r="Y635" s="74">
        <f>+(K635*9.1+L635*18.19)*12</f>
        <v>467441.52</v>
      </c>
      <c r="AA635" s="129">
        <f>+N635-'[5]Приложение № 2'!E567</f>
        <v>-2074232.6981760003</v>
      </c>
      <c r="AD635" s="129">
        <f>+N635-'[5]Приложение № 2'!E567</f>
        <v>-2074232.6981760003</v>
      </c>
      <c r="AP635" s="128">
        <f>+N635-'Приложение №2'!E644</f>
        <v>0</v>
      </c>
      <c r="AQ635" s="38">
        <v>2537481.14</v>
      </c>
      <c r="AR635" s="25">
        <f t="shared" si="421"/>
        <v>458452.26000000007</v>
      </c>
      <c r="AS635" s="25">
        <f>+(K635*10.5+L635*21)*12*30</f>
        <v>16180668.000000004</v>
      </c>
      <c r="AT635" s="127">
        <f t="shared" si="394"/>
        <v>-16180668.000000004</v>
      </c>
      <c r="AU635" s="127">
        <f>+P635-'[6]Приложение №1'!$P602</f>
        <v>0</v>
      </c>
      <c r="AV635" s="127">
        <f>+Q635-'[6]Приложение №1'!$Q602</f>
        <v>0</v>
      </c>
      <c r="AW635" s="88">
        <f t="shared" si="412"/>
        <v>1970236.371824</v>
      </c>
      <c r="AX635" s="64"/>
      <c r="AY635" s="64"/>
      <c r="AZ635" s="64"/>
      <c r="BA635" s="64"/>
      <c r="BB635" s="64">
        <v>1671863.4150329665</v>
      </c>
      <c r="BC635" s="64"/>
      <c r="BD635" s="64"/>
      <c r="BE635" s="64"/>
      <c r="BF635" s="64"/>
      <c r="BG635" s="64"/>
      <c r="BH635" s="64"/>
      <c r="BI635" s="64"/>
      <c r="BJ635" s="64">
        <v>261812.69</v>
      </c>
      <c r="BK635" s="65"/>
      <c r="BL635" s="66">
        <v>36560.266791033602</v>
      </c>
    </row>
    <row r="636" spans="1:64" s="74" customFormat="1" x14ac:dyDescent="0.25">
      <c r="A636" s="141">
        <f t="shared" si="399"/>
        <v>617</v>
      </c>
      <c r="B636" s="142">
        <f t="shared" si="400"/>
        <v>159</v>
      </c>
      <c r="C636" s="62" t="s">
        <v>132</v>
      </c>
      <c r="D636" s="62" t="s">
        <v>1144</v>
      </c>
      <c r="E636" s="123" t="s">
        <v>95</v>
      </c>
      <c r="F636" s="123"/>
      <c r="G636" s="123" t="s">
        <v>43</v>
      </c>
      <c r="H636" s="123" t="s">
        <v>97</v>
      </c>
      <c r="I636" s="123" t="s">
        <v>98</v>
      </c>
      <c r="J636" s="64">
        <v>6086.8</v>
      </c>
      <c r="K636" s="64">
        <v>4850.1000000000004</v>
      </c>
      <c r="L636" s="64">
        <v>66.400000000000006</v>
      </c>
      <c r="M636" s="124">
        <v>164</v>
      </c>
      <c r="N636" s="63">
        <f>SUM(O636:S636)</f>
        <v>7182720</v>
      </c>
      <c r="O636" s="64">
        <v>0</v>
      </c>
      <c r="P636" s="65">
        <v>3904301.1978000002</v>
      </c>
      <c r="Q636" s="65">
        <v>0</v>
      </c>
      <c r="R636" s="65">
        <v>3278418.8021999998</v>
      </c>
      <c r="U636" s="65">
        <f t="shared" si="390"/>
        <v>1480.9426609760621</v>
      </c>
      <c r="V636" s="65">
        <v>1320.2830200640001</v>
      </c>
      <c r="W636" s="126">
        <v>2024</v>
      </c>
      <c r="Y636" s="74">
        <f>+(K636*12.08+L636*20.47)*12</f>
        <v>719380.99200000009</v>
      </c>
      <c r="AA636" s="129">
        <f>+N636-'[5]Приложение № 2'!E568</f>
        <v>3049590.47</v>
      </c>
      <c r="AD636" s="129">
        <f>+N636-'[5]Приложение № 2'!E568</f>
        <v>3049590.47</v>
      </c>
      <c r="AP636" s="128">
        <f>+N636-'Приложение №2'!E645</f>
        <v>0</v>
      </c>
      <c r="AR636" s="25">
        <f>+(K636*13.95+L636*23.65)*12*0.85</f>
        <v>706138.40100000007</v>
      </c>
      <c r="AS636" s="25">
        <f>+(K636*13.95+L636*23.65)*12*30</f>
        <v>24922531.800000001</v>
      </c>
      <c r="AT636" s="127">
        <f t="shared" si="394"/>
        <v>-24922531.800000001</v>
      </c>
      <c r="AU636" s="127">
        <f>+P636-'[6]Приложение №1'!$P603</f>
        <v>0</v>
      </c>
      <c r="AV636" s="127">
        <f>+Q636-'[6]Приложение №1'!$Q603</f>
        <v>0</v>
      </c>
      <c r="AW636" s="88">
        <f t="shared" si="412"/>
        <v>7182720</v>
      </c>
      <c r="AX636" s="64"/>
      <c r="AY636" s="64"/>
      <c r="AZ636" s="64"/>
      <c r="BA636" s="64"/>
      <c r="BB636" s="64"/>
      <c r="BC636" s="64"/>
      <c r="BD636" s="64"/>
      <c r="BE636" s="64">
        <v>6868490.3575085625</v>
      </c>
      <c r="BF636" s="64"/>
      <c r="BG636" s="64"/>
      <c r="BH636" s="64"/>
      <c r="BI636" s="64"/>
      <c r="BJ636" s="64">
        <v>140029.66941696001</v>
      </c>
      <c r="BK636" s="65">
        <v>24000</v>
      </c>
      <c r="BL636" s="66">
        <v>150199.97307447705</v>
      </c>
    </row>
    <row r="637" spans="1:64" s="74" customFormat="1" x14ac:dyDescent="0.25">
      <c r="A637" s="141">
        <f t="shared" si="399"/>
        <v>618</v>
      </c>
      <c r="B637" s="142">
        <f t="shared" si="400"/>
        <v>160</v>
      </c>
      <c r="C637" s="62" t="s">
        <v>94</v>
      </c>
      <c r="D637" s="62" t="s">
        <v>760</v>
      </c>
      <c r="E637" s="123" t="s">
        <v>116</v>
      </c>
      <c r="F637" s="123"/>
      <c r="G637" s="123" t="s">
        <v>43</v>
      </c>
      <c r="H637" s="123" t="s">
        <v>105</v>
      </c>
      <c r="I637" s="123" t="s">
        <v>101</v>
      </c>
      <c r="J637" s="64">
        <v>3411.7</v>
      </c>
      <c r="K637" s="64">
        <v>2190.6999999999998</v>
      </c>
      <c r="L637" s="64">
        <v>1221</v>
      </c>
      <c r="M637" s="124">
        <v>86</v>
      </c>
      <c r="N637" s="63">
        <f t="shared" ref="N637:N646" si="428">SUM(O637:T637)</f>
        <v>6695886.5029184306</v>
      </c>
      <c r="O637" s="64">
        <v>0</v>
      </c>
      <c r="P637" s="65"/>
      <c r="Q637" s="65">
        <v>0</v>
      </c>
      <c r="R637" s="65">
        <f>+AQ637+AR637</f>
        <v>3388485.79</v>
      </c>
      <c r="S637" s="65">
        <f>+'Приложение №2'!E646-'Приложение №1'!R637</f>
        <v>3307400.7129184306</v>
      </c>
      <c r="T637" s="65">
        <f>+'Приложение №2'!E646-'Приложение №1'!P637-'Приложение №1'!R637-'Приложение №1'!S637</f>
        <v>0</v>
      </c>
      <c r="U637" s="65">
        <f t="shared" si="390"/>
        <v>3056.5054562096275</v>
      </c>
      <c r="V637" s="65">
        <v>1322.2830200640001</v>
      </c>
      <c r="W637" s="126">
        <v>2024</v>
      </c>
      <c r="X637" s="74">
        <v>1858783.44</v>
      </c>
      <c r="Y637" s="74">
        <f>+(K637*9.1+L637*18.19)*12</f>
        <v>505744.32</v>
      </c>
      <c r="AA637" s="129">
        <f>+N637-'[5]Приложение № 2'!E570</f>
        <v>-44589828.66708158</v>
      </c>
      <c r="AD637" s="129">
        <f>+N637-'[5]Приложение № 2'!E570</f>
        <v>-44589828.66708158</v>
      </c>
      <c r="AP637" s="128">
        <f>+N637-'Приложение №2'!E646</f>
        <v>0</v>
      </c>
      <c r="AQ637" s="38">
        <v>2892323.62</v>
      </c>
      <c r="AR637" s="25">
        <f t="shared" ref="AR637:AR646" si="429">+(K637*10.5+L637*21)*12*0.85</f>
        <v>496162.16999999993</v>
      </c>
      <c r="AS637" s="25">
        <f t="shared" ref="AS637:AS641" si="430">+(K637*10.5+L637*21)*12*30</f>
        <v>17511606</v>
      </c>
      <c r="AT637" s="127">
        <f t="shared" si="394"/>
        <v>-14204205.287081569</v>
      </c>
      <c r="AU637" s="127">
        <f>+P637-'[6]Приложение №1'!$P605</f>
        <v>-3590029.1775467205</v>
      </c>
      <c r="AV637" s="127">
        <f>+Q637-'[6]Приложение №1'!$Q605</f>
        <v>0</v>
      </c>
      <c r="AW637" s="88">
        <f t="shared" si="412"/>
        <v>6695886.5029184306</v>
      </c>
      <c r="AX637" s="64"/>
      <c r="AY637" s="64">
        <v>2902577.0561398687</v>
      </c>
      <c r="AZ637" s="64"/>
      <c r="BA637" s="64">
        <v>1898584.0855715647</v>
      </c>
      <c r="BB637" s="64">
        <v>1161613.0260681349</v>
      </c>
      <c r="BC637" s="64"/>
      <c r="BD637" s="64"/>
      <c r="BE637" s="64">
        <v>0</v>
      </c>
      <c r="BF637" s="64">
        <v>0</v>
      </c>
      <c r="BG637" s="64">
        <v>0</v>
      </c>
      <c r="BH637" s="64"/>
      <c r="BI637" s="64"/>
      <c r="BJ637" s="64"/>
      <c r="BK637" s="65"/>
      <c r="BL637" s="66">
        <v>733112.33513886225</v>
      </c>
    </row>
    <row r="638" spans="1:64" s="74" customFormat="1" x14ac:dyDescent="0.25">
      <c r="A638" s="141">
        <f t="shared" si="399"/>
        <v>619</v>
      </c>
      <c r="B638" s="142">
        <f t="shared" si="400"/>
        <v>161</v>
      </c>
      <c r="C638" s="62" t="s">
        <v>94</v>
      </c>
      <c r="D638" s="62" t="s">
        <v>761</v>
      </c>
      <c r="E638" s="123" t="s">
        <v>117</v>
      </c>
      <c r="F638" s="123"/>
      <c r="G638" s="123" t="s">
        <v>43</v>
      </c>
      <c r="H638" s="123" t="s">
        <v>105</v>
      </c>
      <c r="I638" s="123" t="s">
        <v>100</v>
      </c>
      <c r="J638" s="64">
        <v>5051.1899999999996</v>
      </c>
      <c r="K638" s="64">
        <v>4630.8</v>
      </c>
      <c r="L638" s="64">
        <v>0</v>
      </c>
      <c r="M638" s="124">
        <v>233</v>
      </c>
      <c r="N638" s="63">
        <f t="shared" si="428"/>
        <v>63116966.453721315</v>
      </c>
      <c r="O638" s="64">
        <v>0</v>
      </c>
      <c r="P638" s="65">
        <v>11125815.399917353</v>
      </c>
      <c r="Q638" s="65">
        <v>0</v>
      </c>
      <c r="R638" s="65">
        <f>+AR638</f>
        <v>495958.68000000005</v>
      </c>
      <c r="S638" s="65">
        <f>+AS638</f>
        <v>0</v>
      </c>
      <c r="T638" s="65">
        <f>+'Приложение №2'!E647-'Приложение №1'!P638-'Приложение №1'!R638-'Приложение №1'!S638</f>
        <v>51495192.373803966</v>
      </c>
      <c r="U638" s="65">
        <f t="shared" si="390"/>
        <v>13629.819135726291</v>
      </c>
      <c r="V638" s="65">
        <v>1323.2830200640001</v>
      </c>
      <c r="W638" s="126">
        <v>2024</v>
      </c>
      <c r="X638" s="74">
        <v>1795085.95</v>
      </c>
      <c r="Y638" s="74">
        <f>+(K638*9.1+L638*18.19)*12</f>
        <v>505683.36</v>
      </c>
      <c r="AA638" s="129">
        <f>+N638-'[5]Приложение № 2'!E571</f>
        <v>50023364.913721316</v>
      </c>
      <c r="AD638" s="129">
        <f>+N638-'[5]Приложение № 2'!E571</f>
        <v>50023364.913721316</v>
      </c>
      <c r="AP638" s="128">
        <f>+N638-'Приложение №2'!E647</f>
        <v>0</v>
      </c>
      <c r="AQ638" s="38">
        <f>2825636.52-R349</f>
        <v>-495958.68000000017</v>
      </c>
      <c r="AR638" s="25">
        <f t="shared" si="429"/>
        <v>495958.68000000005</v>
      </c>
      <c r="AS638" s="25">
        <f>+(K638*10.5+L638*21)*12*30-S349</f>
        <v>0</v>
      </c>
      <c r="AT638" s="127">
        <f t="shared" si="394"/>
        <v>0</v>
      </c>
      <c r="AU638" s="127">
        <f>+P638-'[6]Приложение №1'!$P606</f>
        <v>0</v>
      </c>
      <c r="AV638" s="127">
        <f>+Q638-'[6]Приложение №1'!$Q606</f>
        <v>0</v>
      </c>
      <c r="AW638" s="88">
        <f t="shared" si="412"/>
        <v>63116966.453721315</v>
      </c>
      <c r="AX638" s="64">
        <v>13148633.556306994</v>
      </c>
      <c r="AY638" s="64">
        <v>4192746.7065505343</v>
      </c>
      <c r="AZ638" s="64"/>
      <c r="BA638" s="64">
        <v>4285819.8536529616</v>
      </c>
      <c r="BB638" s="64">
        <v>2055716.9420669565</v>
      </c>
      <c r="BC638" s="64"/>
      <c r="BD638" s="64">
        <v>504522.83066567749</v>
      </c>
      <c r="BE638" s="64"/>
      <c r="BF638" s="64"/>
      <c r="BG638" s="64"/>
      <c r="BH638" s="64">
        <v>31776683.094386999</v>
      </c>
      <c r="BI638" s="64"/>
      <c r="BJ638" s="64">
        <v>5496977.6636125278</v>
      </c>
      <c r="BK638" s="65">
        <v>568685.02805103827</v>
      </c>
      <c r="BL638" s="66">
        <v>1087180.7784276213</v>
      </c>
    </row>
    <row r="639" spans="1:64" x14ac:dyDescent="0.25">
      <c r="A639" s="141">
        <f t="shared" si="399"/>
        <v>620</v>
      </c>
      <c r="B639" s="142">
        <f t="shared" si="400"/>
        <v>162</v>
      </c>
      <c r="C639" s="62" t="s">
        <v>52</v>
      </c>
      <c r="D639" s="62" t="s">
        <v>701</v>
      </c>
      <c r="E639" s="123">
        <v>1966</v>
      </c>
      <c r="F639" s="123">
        <v>2013</v>
      </c>
      <c r="G639" s="123" t="s">
        <v>43</v>
      </c>
      <c r="H639" s="123">
        <v>4</v>
      </c>
      <c r="I639" s="123">
        <v>6</v>
      </c>
      <c r="J639" s="64">
        <v>2829.5</v>
      </c>
      <c r="K639" s="64">
        <v>2537.8000000000002</v>
      </c>
      <c r="L639" s="64">
        <v>230.6</v>
      </c>
      <c r="M639" s="124">
        <v>144</v>
      </c>
      <c r="N639" s="63">
        <f t="shared" si="428"/>
        <v>25411579.077413462</v>
      </c>
      <c r="O639" s="64"/>
      <c r="P639" s="65">
        <v>942478.5918385</v>
      </c>
      <c r="Q639" s="65"/>
      <c r="R639" s="65">
        <f>+AR639</f>
        <v>321192.89999999997</v>
      </c>
      <c r="S639" s="65">
        <f>+AS639</f>
        <v>0</v>
      </c>
      <c r="T639" s="65">
        <f>+'Приложение №2'!E648-'Приложение №1'!P639-'Приложение №1'!R639-'Приложение №1'!S639</f>
        <v>24147907.585574962</v>
      </c>
      <c r="U639" s="65">
        <f t="shared" si="390"/>
        <v>10013.23156963254</v>
      </c>
      <c r="V639" s="65">
        <v>1324.2830200640001</v>
      </c>
      <c r="W639" s="126">
        <v>2024</v>
      </c>
      <c r="X639" s="127" t="e">
        <f>+#REF!-'[1]Приложение №1'!$P1905</f>
        <v>#REF!</v>
      </c>
      <c r="Z639" s="63">
        <f>SUM(AA639:AO639)</f>
        <v>15087934.029999999</v>
      </c>
      <c r="AA639" s="64">
        <v>6065034.6402882598</v>
      </c>
      <c r="AB639" s="64">
        <v>2161221.1824524999</v>
      </c>
      <c r="AC639" s="64">
        <v>2257995.2503873804</v>
      </c>
      <c r="AD639" s="64">
        <v>1413647.7960217199</v>
      </c>
      <c r="AE639" s="64">
        <v>864921.32273358025</v>
      </c>
      <c r="AF639" s="64"/>
      <c r="AG639" s="64">
        <v>232731.98563608</v>
      </c>
      <c r="AH639" s="64">
        <v>0</v>
      </c>
      <c r="AI639" s="64">
        <v>0</v>
      </c>
      <c r="AJ639" s="64">
        <v>0</v>
      </c>
      <c r="AK639" s="64">
        <v>0</v>
      </c>
      <c r="AL639" s="64">
        <v>0</v>
      </c>
      <c r="AM639" s="64">
        <v>1657316.1065</v>
      </c>
      <c r="AN639" s="65">
        <v>150879.34030000001</v>
      </c>
      <c r="AO639" s="66">
        <v>284186.40568048006</v>
      </c>
      <c r="AP639" s="128">
        <f>+N639-'Приложение №2'!E648</f>
        <v>0</v>
      </c>
      <c r="AQ639" s="67">
        <f>1632407.51-R350</f>
        <v>-321192.89999999991</v>
      </c>
      <c r="AR639" s="25">
        <f t="shared" si="429"/>
        <v>321192.89999999997</v>
      </c>
      <c r="AS639" s="25">
        <f>+(K639*10.5+L639*21)*12*30-S350</f>
        <v>0</v>
      </c>
      <c r="AT639" s="127">
        <f t="shared" si="394"/>
        <v>0</v>
      </c>
      <c r="AU639" s="127"/>
      <c r="AV639" s="127"/>
      <c r="AW639" s="88">
        <f t="shared" si="412"/>
        <v>25411579.077413462</v>
      </c>
      <c r="AX639" s="64"/>
      <c r="AY639" s="64">
        <v>1245773.46</v>
      </c>
      <c r="AZ639" s="64">
        <v>1202952.82</v>
      </c>
      <c r="BA639" s="64"/>
      <c r="BB639" s="64"/>
      <c r="BC639" s="64"/>
      <c r="BD639" s="64"/>
      <c r="BE639" s="64"/>
      <c r="BF639" s="64"/>
      <c r="BG639" s="64">
        <v>0</v>
      </c>
      <c r="BH639" s="64">
        <v>18996840.606051002</v>
      </c>
      <c r="BI639" s="64"/>
      <c r="BJ639" s="64">
        <v>2732058.4400660531</v>
      </c>
      <c r="BK639" s="65">
        <v>286925.44751838496</v>
      </c>
      <c r="BL639" s="66">
        <v>947028.30377802055</v>
      </c>
    </row>
    <row r="640" spans="1:64" s="74" customFormat="1" x14ac:dyDescent="0.25">
      <c r="A640" s="141">
        <f t="shared" si="399"/>
        <v>621</v>
      </c>
      <c r="B640" s="142">
        <f t="shared" si="400"/>
        <v>163</v>
      </c>
      <c r="C640" s="62" t="s">
        <v>94</v>
      </c>
      <c r="D640" s="62" t="s">
        <v>762</v>
      </c>
      <c r="E640" s="123" t="s">
        <v>133</v>
      </c>
      <c r="F640" s="123"/>
      <c r="G640" s="123" t="s">
        <v>43</v>
      </c>
      <c r="H640" s="123" t="s">
        <v>108</v>
      </c>
      <c r="I640" s="123" t="s">
        <v>105</v>
      </c>
      <c r="J640" s="64">
        <v>4290.1000000000004</v>
      </c>
      <c r="K640" s="64">
        <v>4045.8</v>
      </c>
      <c r="L640" s="64">
        <v>0</v>
      </c>
      <c r="M640" s="124">
        <v>160</v>
      </c>
      <c r="N640" s="63">
        <f t="shared" si="428"/>
        <v>2039953.34</v>
      </c>
      <c r="O640" s="64">
        <v>0</v>
      </c>
      <c r="P640" s="65"/>
      <c r="Q640" s="65">
        <v>0</v>
      </c>
      <c r="R640" s="65">
        <f>+'Приложение №2'!E649</f>
        <v>2039953.34</v>
      </c>
      <c r="S640" s="65">
        <f>+'Приложение №2'!E649-'Приложение №1'!R640</f>
        <v>0</v>
      </c>
      <c r="T640" s="65">
        <v>0</v>
      </c>
      <c r="U640" s="65">
        <f t="shared" si="390"/>
        <v>504.21507242078206</v>
      </c>
      <c r="V640" s="65">
        <v>1325.2830200640001</v>
      </c>
      <c r="W640" s="126">
        <v>2024</v>
      </c>
      <c r="X640" s="74">
        <v>1474610.12</v>
      </c>
      <c r="Y640" s="74">
        <f>+(K640*9.1+L640*18.19)*12</f>
        <v>441801.36</v>
      </c>
      <c r="AA640" s="129">
        <f>+N640-'[5]Приложение № 2'!E572</f>
        <v>-9395945.0900000017</v>
      </c>
      <c r="AD640" s="129">
        <f>+N640-'[5]Приложение № 2'!E572</f>
        <v>-9395945.0900000017</v>
      </c>
      <c r="AP640" s="128">
        <f>+N640-'Приложение №2'!E649</f>
        <v>0</v>
      </c>
      <c r="AQ640" s="38">
        <v>2307200.5499999998</v>
      </c>
      <c r="AR640" s="25">
        <f t="shared" si="429"/>
        <v>433305.18000000005</v>
      </c>
      <c r="AS640" s="25">
        <f t="shared" si="430"/>
        <v>15293124.000000002</v>
      </c>
      <c r="AT640" s="127">
        <f t="shared" si="394"/>
        <v>-15293124.000000002</v>
      </c>
      <c r="AU640" s="127">
        <f>+P640-'[6]Приложение №1'!$P607</f>
        <v>0</v>
      </c>
      <c r="AV640" s="127">
        <f>+Q640-'[6]Приложение №1'!$Q607</f>
        <v>0</v>
      </c>
      <c r="AW640" s="88">
        <f t="shared" si="412"/>
        <v>2039953.34</v>
      </c>
      <c r="AX640" s="64"/>
      <c r="AY640" s="64"/>
      <c r="AZ640" s="64"/>
      <c r="BA640" s="64"/>
      <c r="BB640" s="64">
        <v>1732566.2449115328</v>
      </c>
      <c r="BC640" s="64"/>
      <c r="BD640" s="64"/>
      <c r="BE640" s="64"/>
      <c r="BF640" s="64"/>
      <c r="BG640" s="64"/>
      <c r="BH640" s="64"/>
      <c r="BI640" s="64"/>
      <c r="BJ640" s="64">
        <v>245499.38035199995</v>
      </c>
      <c r="BK640" s="65">
        <v>24000</v>
      </c>
      <c r="BL640" s="66">
        <v>37887.714736467206</v>
      </c>
    </row>
    <row r="641" spans="1:64" s="74" customFormat="1" x14ac:dyDescent="0.25">
      <c r="A641" s="141">
        <f t="shared" si="399"/>
        <v>622</v>
      </c>
      <c r="B641" s="142">
        <f t="shared" si="400"/>
        <v>164</v>
      </c>
      <c r="C641" s="62" t="s">
        <v>94</v>
      </c>
      <c r="D641" s="62" t="s">
        <v>763</v>
      </c>
      <c r="E641" s="123" t="s">
        <v>134</v>
      </c>
      <c r="F641" s="123"/>
      <c r="G641" s="123" t="s">
        <v>43</v>
      </c>
      <c r="H641" s="123" t="s">
        <v>108</v>
      </c>
      <c r="I641" s="123" t="s">
        <v>105</v>
      </c>
      <c r="J641" s="64">
        <v>3196.5</v>
      </c>
      <c r="K641" s="64">
        <v>2451.1</v>
      </c>
      <c r="L641" s="64">
        <v>745</v>
      </c>
      <c r="M641" s="124">
        <v>156</v>
      </c>
      <c r="N641" s="63">
        <f t="shared" si="428"/>
        <v>42949440.406216398</v>
      </c>
      <c r="O641" s="64">
        <v>0</v>
      </c>
      <c r="P641" s="65">
        <v>4540950.7992002573</v>
      </c>
      <c r="Q641" s="65">
        <v>0</v>
      </c>
      <c r="R641" s="65">
        <f t="shared" ref="R641" si="431">+AQ641+AR641</f>
        <v>2784032.97</v>
      </c>
      <c r="S641" s="65">
        <f>+AS641</f>
        <v>14897358.000000002</v>
      </c>
      <c r="T641" s="65">
        <f>+'Приложение №2'!E650-'Приложение №1'!P641-'Приложение №1'!R641-'Приложение №1'!S641</f>
        <v>20727098.63701614</v>
      </c>
      <c r="U641" s="65">
        <f t="shared" si="390"/>
        <v>17522.516586926849</v>
      </c>
      <c r="V641" s="65">
        <v>1326.2830200640001</v>
      </c>
      <c r="W641" s="126">
        <v>2024</v>
      </c>
      <c r="X641" s="74">
        <v>1575459.5</v>
      </c>
      <c r="Y641" s="74">
        <f>+(K641*9.1+L641*18.19)*12</f>
        <v>430278.72</v>
      </c>
      <c r="AA641" s="129">
        <f>+N641-'[5]Приложение № 2'!E573</f>
        <v>28584000.406216398</v>
      </c>
      <c r="AD641" s="129">
        <f>+N641-'[5]Приложение № 2'!E573</f>
        <v>28584000.406216398</v>
      </c>
      <c r="AP641" s="128">
        <f>+N641-'Приложение №2'!E650</f>
        <v>0</v>
      </c>
      <c r="AQ641" s="38">
        <v>2361941.16</v>
      </c>
      <c r="AR641" s="25">
        <f t="shared" si="429"/>
        <v>422091.81</v>
      </c>
      <c r="AS641" s="25">
        <f t="shared" si="430"/>
        <v>14897358.000000002</v>
      </c>
      <c r="AT641" s="127">
        <f t="shared" si="394"/>
        <v>0</v>
      </c>
      <c r="AU641" s="127">
        <f>+P641-'[6]Приложение №1'!$P608</f>
        <v>0</v>
      </c>
      <c r="AV641" s="127">
        <f>+Q641-'[6]Приложение №1'!$Q608</f>
        <v>0</v>
      </c>
      <c r="AW641" s="88">
        <f t="shared" si="412"/>
        <v>42949440.406216398</v>
      </c>
      <c r="AX641" s="64">
        <v>7393681.9400000004</v>
      </c>
      <c r="AY641" s="64">
        <v>2143637.4761874913</v>
      </c>
      <c r="AZ641" s="64">
        <v>2373820.8287424021</v>
      </c>
      <c r="BA641" s="64">
        <v>1401136.3128114911</v>
      </c>
      <c r="BB641" s="64">
        <v>1294156.2482307241</v>
      </c>
      <c r="BC641" s="64"/>
      <c r="BD641" s="64">
        <v>230299.60996685261</v>
      </c>
      <c r="BE641" s="64"/>
      <c r="BF641" s="64">
        <v>16590386.987008668</v>
      </c>
      <c r="BG641" s="64"/>
      <c r="BH641" s="64"/>
      <c r="BI641" s="64">
        <v>9290993.527514426</v>
      </c>
      <c r="BJ641" s="64">
        <v>1498477.79318372</v>
      </c>
      <c r="BK641" s="65">
        <v>43476.727368</v>
      </c>
      <c r="BL641" s="66">
        <v>689372.95520262048</v>
      </c>
    </row>
    <row r="642" spans="1:64" s="74" customFormat="1" x14ac:dyDescent="0.25">
      <c r="A642" s="141">
        <f t="shared" si="399"/>
        <v>623</v>
      </c>
      <c r="B642" s="142">
        <f t="shared" si="400"/>
        <v>165</v>
      </c>
      <c r="C642" s="62" t="s">
        <v>94</v>
      </c>
      <c r="D642" s="62" t="s">
        <v>764</v>
      </c>
      <c r="E642" s="123" t="s">
        <v>125</v>
      </c>
      <c r="F642" s="123"/>
      <c r="G642" s="123" t="s">
        <v>43</v>
      </c>
      <c r="H642" s="123" t="s">
        <v>105</v>
      </c>
      <c r="I642" s="123" t="s">
        <v>105</v>
      </c>
      <c r="J642" s="64">
        <v>3950.89</v>
      </c>
      <c r="K642" s="64">
        <v>3454.6</v>
      </c>
      <c r="L642" s="64">
        <v>0</v>
      </c>
      <c r="M642" s="124">
        <v>153</v>
      </c>
      <c r="N642" s="63">
        <f t="shared" si="428"/>
        <v>21455330.913193382</v>
      </c>
      <c r="O642" s="64">
        <v>0</v>
      </c>
      <c r="P642" s="65">
        <v>8914366.6864420418</v>
      </c>
      <c r="Q642" s="65">
        <v>0</v>
      </c>
      <c r="R642" s="65">
        <f>+AR642</f>
        <v>369987.66</v>
      </c>
      <c r="S642" s="65">
        <f>+AS642</f>
        <v>0</v>
      </c>
      <c r="T642" s="65">
        <f>+'Приложение №2'!E651-'Приложение №1'!P642-'Приложение №1'!R642-'Приложение №1'!S642</f>
        <v>12170976.56675134</v>
      </c>
      <c r="U642" s="65">
        <f t="shared" si="390"/>
        <v>6210.6556224145725</v>
      </c>
      <c r="V642" s="65">
        <v>1327.2830200640001</v>
      </c>
      <c r="W642" s="126">
        <v>2024</v>
      </c>
      <c r="X642" s="74">
        <v>1263644.1499999999</v>
      </c>
      <c r="Y642" s="74">
        <f>+(K642*9.1+L642*18.19)*12</f>
        <v>377242.31999999995</v>
      </c>
      <c r="AA642" s="129">
        <f>+N642-'[5]Приложение № 2'!E574</f>
        <v>4412043.3731933832</v>
      </c>
      <c r="AD642" s="129">
        <f>+N642-'[5]Приложение № 2'!E574</f>
        <v>4412043.3731933832</v>
      </c>
      <c r="AP642" s="128">
        <f>+N642-'Приложение №2'!E651</f>
        <v>0</v>
      </c>
      <c r="AQ642" s="38">
        <f>2044101.29-R351</f>
        <v>-369987.66000000015</v>
      </c>
      <c r="AR642" s="25">
        <f t="shared" si="429"/>
        <v>369987.66</v>
      </c>
      <c r="AS642" s="25">
        <f>+(K642*10.5+L642*21)*12*30-S351</f>
        <v>0</v>
      </c>
      <c r="AT642" s="127">
        <f t="shared" si="394"/>
        <v>0</v>
      </c>
      <c r="AU642" s="127">
        <f>+P642-'[6]Приложение №1'!$P609</f>
        <v>0</v>
      </c>
      <c r="AV642" s="127">
        <f>+Q642-'[6]Приложение №1'!$Q609</f>
        <v>0</v>
      </c>
      <c r="AW642" s="88">
        <f t="shared" si="412"/>
        <v>21455330.913193382</v>
      </c>
      <c r="AX642" s="64">
        <v>10498865.200444018</v>
      </c>
      <c r="AY642" s="64">
        <v>3966708.6084559076</v>
      </c>
      <c r="AZ642" s="64">
        <v>0</v>
      </c>
      <c r="BA642" s="64">
        <v>3542622.2502106796</v>
      </c>
      <c r="BB642" s="64">
        <v>1398827.3755945871</v>
      </c>
      <c r="BC642" s="64"/>
      <c r="BD642" s="64">
        <v>376376.55930242059</v>
      </c>
      <c r="BE642" s="64">
        <v>0</v>
      </c>
      <c r="BF642" s="64"/>
      <c r="BG642" s="64">
        <v>0</v>
      </c>
      <c r="BH642" s="64"/>
      <c r="BI642" s="64"/>
      <c r="BJ642" s="64"/>
      <c r="BK642" s="65"/>
      <c r="BL642" s="66">
        <v>1671930.9191857728</v>
      </c>
    </row>
    <row r="643" spans="1:64" x14ac:dyDescent="0.25">
      <c r="A643" s="141">
        <f t="shared" si="399"/>
        <v>624</v>
      </c>
      <c r="B643" s="142">
        <f t="shared" si="400"/>
        <v>166</v>
      </c>
      <c r="C643" s="62" t="s">
        <v>52</v>
      </c>
      <c r="D643" s="62" t="s">
        <v>1145</v>
      </c>
      <c r="E643" s="123">
        <v>1976</v>
      </c>
      <c r="F643" s="123">
        <v>2013</v>
      </c>
      <c r="G643" s="123" t="s">
        <v>43</v>
      </c>
      <c r="H643" s="123">
        <v>4</v>
      </c>
      <c r="I643" s="123">
        <v>4</v>
      </c>
      <c r="J643" s="64">
        <v>2850.8</v>
      </c>
      <c r="K643" s="64">
        <v>2612.3000000000002</v>
      </c>
      <c r="L643" s="64">
        <v>0</v>
      </c>
      <c r="M643" s="124">
        <v>135</v>
      </c>
      <c r="N643" s="95">
        <f>+P643+Q643+R643+S643+T643</f>
        <v>1024198.037306</v>
      </c>
      <c r="O643" s="64"/>
      <c r="P643" s="65"/>
      <c r="Q643" s="65"/>
      <c r="R643" s="65">
        <f>+'Приложение №2'!E652</f>
        <v>1024198.037306</v>
      </c>
      <c r="S643" s="65">
        <f>+'Приложение №2'!E652-'Приложение №1'!R643</f>
        <v>0</v>
      </c>
      <c r="T643" s="65">
        <v>0</v>
      </c>
      <c r="U643" s="64">
        <f>$N643/($K643+$L643)</f>
        <v>392.06754098151055</v>
      </c>
      <c r="V643" s="64">
        <f>$N643/($K643+$L643)</f>
        <v>392.06754098151055</v>
      </c>
      <c r="W643" s="126">
        <v>2024</v>
      </c>
      <c r="X643" s="127" t="e">
        <f>+#REF!-'[1]Приложение №1'!$P704</f>
        <v>#REF!</v>
      </c>
      <c r="Z643" s="63">
        <f>SUM(AA643:AO643)</f>
        <v>9718452.3328623008</v>
      </c>
      <c r="AA643" s="64">
        <v>0</v>
      </c>
      <c r="AB643" s="64"/>
      <c r="AC643" s="64">
        <v>0</v>
      </c>
      <c r="AD643" s="64"/>
      <c r="AE643" s="64">
        <v>1013323.25</v>
      </c>
      <c r="AF643" s="64"/>
      <c r="AG643" s="64">
        <v>237743.37685980002</v>
      </c>
      <c r="AH643" s="64">
        <v>0</v>
      </c>
      <c r="AI643" s="64">
        <v>0</v>
      </c>
      <c r="AJ643" s="64">
        <v>0</v>
      </c>
      <c r="AK643" s="64">
        <v>5880801.6867473992</v>
      </c>
      <c r="AL643" s="64"/>
      <c r="AM643" s="64">
        <v>2042532.0290000001</v>
      </c>
      <c r="AN643" s="65">
        <v>187559.97450000001</v>
      </c>
      <c r="AO643" s="66">
        <v>356492.0157551</v>
      </c>
      <c r="AP643" s="128">
        <f>+N643-'Приложение №2'!E652</f>
        <v>0</v>
      </c>
      <c r="AQ643" s="23">
        <f>1147783.87-88084.66</f>
        <v>1059699.2100000002</v>
      </c>
      <c r="AR643" s="25">
        <f>+(K643*10+L643*20)*12*0.85</f>
        <v>266454.59999999998</v>
      </c>
      <c r="AS643" s="25">
        <f>+(K643*10+L643*20)*12*30-2038331.33</f>
        <v>7365948.6699999999</v>
      </c>
      <c r="AT643" s="127">
        <f>+S643-AS643</f>
        <v>-7365948.6699999999</v>
      </c>
      <c r="AU643" s="127">
        <f>+P643-'[6]Приложение №1'!$P324</f>
        <v>-2477837.44</v>
      </c>
      <c r="AV643" s="127">
        <f>+Q643-'[6]Приложение №1'!$Q324</f>
        <v>0</v>
      </c>
      <c r="AW643" s="63">
        <f>SUBTOTAL(9,AX643:BL643)</f>
        <v>1024198.037306</v>
      </c>
      <c r="AX643" s="64"/>
      <c r="AY643" s="64"/>
      <c r="AZ643" s="64"/>
      <c r="BA643" s="64"/>
      <c r="BB643" s="64">
        <v>1013323.25</v>
      </c>
      <c r="BC643" s="64"/>
      <c r="BD643" s="64"/>
      <c r="BE643" s="64"/>
      <c r="BF643" s="64"/>
      <c r="BG643" s="64"/>
      <c r="BH643" s="64"/>
      <c r="BI643" s="64"/>
      <c r="BJ643" s="64"/>
      <c r="BK643" s="65"/>
      <c r="BL643" s="66">
        <v>10874.787306</v>
      </c>
    </row>
    <row r="644" spans="1:64" s="74" customFormat="1" x14ac:dyDescent="0.25">
      <c r="A644" s="141">
        <f t="shared" si="399"/>
        <v>625</v>
      </c>
      <c r="B644" s="142">
        <f t="shared" si="400"/>
        <v>167</v>
      </c>
      <c r="C644" s="62" t="s">
        <v>52</v>
      </c>
      <c r="D644" s="62" t="s">
        <v>123</v>
      </c>
      <c r="E644" s="123" t="s">
        <v>117</v>
      </c>
      <c r="F644" s="123"/>
      <c r="G644" s="123" t="s">
        <v>43</v>
      </c>
      <c r="H644" s="123" t="s">
        <v>105</v>
      </c>
      <c r="I644" s="123" t="s">
        <v>109</v>
      </c>
      <c r="J644" s="64">
        <v>5678.2</v>
      </c>
      <c r="K644" s="64">
        <v>4923.8</v>
      </c>
      <c r="L644" s="64">
        <v>69.900000000000006</v>
      </c>
      <c r="M644" s="124">
        <v>205</v>
      </c>
      <c r="N644" s="95">
        <f t="shared" ref="N644:N645" si="432">+P644+Q644+R644+S644+T644</f>
        <v>9988266.6167057697</v>
      </c>
      <c r="O644" s="64">
        <v>0</v>
      </c>
      <c r="P644" s="65"/>
      <c r="Q644" s="65">
        <v>0</v>
      </c>
      <c r="R644" s="65">
        <f t="shared" ref="R644:S646" si="433">+AR644</f>
        <v>516487.2</v>
      </c>
      <c r="S644" s="65">
        <f t="shared" si="433"/>
        <v>0</v>
      </c>
      <c r="T644" s="65">
        <f>+'Приложение №2'!E653-'Приложение №1'!P644-'Приложение №1'!Q644-'Приложение №1'!R644-'Приложение №1'!S644</f>
        <v>9471779.4167057704</v>
      </c>
      <c r="U644" s="64">
        <f t="shared" ref="U644:V645" si="434">$N644/($K644+$L644)</f>
        <v>2000.1735420040791</v>
      </c>
      <c r="V644" s="64">
        <f t="shared" si="434"/>
        <v>2000.1735420040791</v>
      </c>
      <c r="W644" s="126">
        <v>2024</v>
      </c>
      <c r="X644" s="74">
        <v>1831927.01</v>
      </c>
      <c r="Y644" s="74">
        <f>+(K644*9.1+L644*18.19)*12</f>
        <v>552936.73200000008</v>
      </c>
      <c r="AA644" s="129">
        <f>+N644-'[5]Приложение № 2'!E652</f>
        <v>9988266.6167057697</v>
      </c>
      <c r="AD644" s="129">
        <f>+N644-'[5]Приложение № 2'!E652</f>
        <v>9988266.6167057697</v>
      </c>
      <c r="AP644" s="128">
        <f>+N644-'Приложение №2'!E653</f>
        <v>0</v>
      </c>
      <c r="AQ644" s="143">
        <f>2280888.52-R356</f>
        <v>-516487.20000000019</v>
      </c>
      <c r="AR644" s="25">
        <f t="shared" ref="AR644:AR645" si="435">+(K644*10+L644*20)*12*0.85</f>
        <v>516487.2</v>
      </c>
      <c r="AS644" s="25">
        <f>+(K644*10+L644*20)*12*30-S356</f>
        <v>0</v>
      </c>
      <c r="AT644" s="127">
        <f t="shared" ref="AT644:AT645" si="436">+S644-AS644</f>
        <v>0</v>
      </c>
      <c r="AU644" s="127">
        <f>+P644-'[6]Приложение №1'!$P672</f>
        <v>-2077460.7349500002</v>
      </c>
      <c r="AV644" s="127">
        <f>+Q644-'[6]Приложение №1'!$Q672</f>
        <v>0</v>
      </c>
      <c r="AW644" s="63">
        <f t="shared" ref="AW644:AW645" si="437">SUBTOTAL(9,AX644:BL644)</f>
        <v>9988266.6167057697</v>
      </c>
      <c r="AX644" s="64"/>
      <c r="AY644" s="64">
        <v>5733964.2152626254</v>
      </c>
      <c r="AZ644" s="64"/>
      <c r="BA644" s="64"/>
      <c r="BB644" s="64">
        <v>2716727.83</v>
      </c>
      <c r="BC644" s="64"/>
      <c r="BD644" s="64"/>
      <c r="BE644" s="64"/>
      <c r="BF644" s="64"/>
      <c r="BG644" s="64"/>
      <c r="BH644" s="64"/>
      <c r="BI644" s="64"/>
      <c r="BJ644" s="64"/>
      <c r="BK644" s="64"/>
      <c r="BL644" s="96">
        <v>1537574.5714431447</v>
      </c>
    </row>
    <row r="645" spans="1:64" s="74" customFormat="1" x14ac:dyDescent="0.25">
      <c r="A645" s="141">
        <f t="shared" si="399"/>
        <v>626</v>
      </c>
      <c r="B645" s="142">
        <f t="shared" si="400"/>
        <v>168</v>
      </c>
      <c r="C645" s="62" t="s">
        <v>52</v>
      </c>
      <c r="D645" s="62" t="s">
        <v>729</v>
      </c>
      <c r="E645" s="123" t="s">
        <v>117</v>
      </c>
      <c r="F645" s="123"/>
      <c r="G645" s="123" t="s">
        <v>43</v>
      </c>
      <c r="H645" s="123" t="s">
        <v>105</v>
      </c>
      <c r="I645" s="123" t="s">
        <v>109</v>
      </c>
      <c r="J645" s="64">
        <v>5563.5</v>
      </c>
      <c r="K645" s="64">
        <v>4878.8999999999996</v>
      </c>
      <c r="L645" s="64">
        <v>141.30000000000001</v>
      </c>
      <c r="M645" s="124">
        <v>202</v>
      </c>
      <c r="N645" s="95">
        <f t="shared" si="432"/>
        <v>54036509.666646197</v>
      </c>
      <c r="O645" s="64">
        <v>0</v>
      </c>
      <c r="P645" s="65">
        <v>17148929.116796475</v>
      </c>
      <c r="Q645" s="65">
        <v>0</v>
      </c>
      <c r="R645" s="65">
        <f t="shared" si="433"/>
        <v>526473</v>
      </c>
      <c r="S645" s="65">
        <f t="shared" si="433"/>
        <v>942143.58265065402</v>
      </c>
      <c r="T645" s="65">
        <f>+'Приложение №2'!E654-'Приложение №1'!P645-'Приложение №1'!Q645-'Приложение №1'!R645-'Приложение №1'!S645</f>
        <v>35418963.967199065</v>
      </c>
      <c r="U645" s="64">
        <f t="shared" si="434"/>
        <v>10763.816116219712</v>
      </c>
      <c r="V645" s="64">
        <f t="shared" si="434"/>
        <v>10763.816116219712</v>
      </c>
      <c r="W645" s="126">
        <v>2024</v>
      </c>
      <c r="X645" s="74">
        <v>1863663.58</v>
      </c>
      <c r="Y645" s="74">
        <f>+(K645*9.1+L645*18.19)*12</f>
        <v>563618.84400000004</v>
      </c>
      <c r="AA645" s="129">
        <f>+N645-'[5]Приложение № 2'!E653</f>
        <v>54036509.666646197</v>
      </c>
      <c r="AD645" s="129">
        <f>+N645-'[5]Приложение № 2'!E653</f>
        <v>54036509.666646197</v>
      </c>
      <c r="AP645" s="128">
        <f>+N645-'Приложение №2'!E654</f>
        <v>0</v>
      </c>
      <c r="AQ645" s="143">
        <f>2384583.81-R357</f>
        <v>-526473</v>
      </c>
      <c r="AR645" s="25">
        <f t="shared" si="435"/>
        <v>526473</v>
      </c>
      <c r="AS645" s="25">
        <f>+(K645*10+L645*20)*12*30-S357</f>
        <v>942143.58265065402</v>
      </c>
      <c r="AT645" s="127">
        <f t="shared" si="436"/>
        <v>0</v>
      </c>
      <c r="AU645" s="127">
        <f>+P645-'[6]Приложение №1'!$P673</f>
        <v>17148929.116796475</v>
      </c>
      <c r="AV645" s="127">
        <f>+Q645-'[6]Приложение №1'!$Q673</f>
        <v>0</v>
      </c>
      <c r="AW645" s="63">
        <f t="shared" si="437"/>
        <v>54036509.66664619</v>
      </c>
      <c r="AX645" s="64">
        <v>8624090.4981803056</v>
      </c>
      <c r="AY645" s="64">
        <v>5764392.5653245952</v>
      </c>
      <c r="AZ645" s="64"/>
      <c r="BA645" s="64">
        <v>4190749.9292622432</v>
      </c>
      <c r="BB645" s="64">
        <v>2625980.02</v>
      </c>
      <c r="BC645" s="64"/>
      <c r="BD645" s="64">
        <v>408501.9990271061</v>
      </c>
      <c r="BE645" s="64"/>
      <c r="BF645" s="64"/>
      <c r="BG645" s="64"/>
      <c r="BH645" s="64">
        <v>30921783.364401255</v>
      </c>
      <c r="BI645" s="64"/>
      <c r="BJ645" s="64"/>
      <c r="BK645" s="64"/>
      <c r="BL645" s="96">
        <v>1501011.2904506847</v>
      </c>
    </row>
    <row r="646" spans="1:64" s="74" customFormat="1" x14ac:dyDescent="0.25">
      <c r="A646" s="141">
        <f t="shared" si="399"/>
        <v>627</v>
      </c>
      <c r="B646" s="142">
        <f t="shared" si="400"/>
        <v>169</v>
      </c>
      <c r="C646" s="62" t="s">
        <v>94</v>
      </c>
      <c r="D646" s="62" t="s">
        <v>766</v>
      </c>
      <c r="E646" s="123" t="s">
        <v>125</v>
      </c>
      <c r="F646" s="123"/>
      <c r="G646" s="123" t="s">
        <v>43</v>
      </c>
      <c r="H646" s="123" t="s">
        <v>105</v>
      </c>
      <c r="I646" s="123" t="s">
        <v>109</v>
      </c>
      <c r="J646" s="64">
        <v>5751.1</v>
      </c>
      <c r="K646" s="64">
        <v>4971.6000000000004</v>
      </c>
      <c r="L646" s="64">
        <v>0</v>
      </c>
      <c r="M646" s="124">
        <v>221</v>
      </c>
      <c r="N646" s="63">
        <f t="shared" si="428"/>
        <v>37654765.555317692</v>
      </c>
      <c r="O646" s="64">
        <v>0</v>
      </c>
      <c r="P646" s="65">
        <v>6666221.4034400824</v>
      </c>
      <c r="Q646" s="65">
        <v>0</v>
      </c>
      <c r="R646" s="65">
        <f t="shared" si="433"/>
        <v>532458.3600000001</v>
      </c>
      <c r="S646" s="65">
        <f t="shared" si="433"/>
        <v>0</v>
      </c>
      <c r="T646" s="65">
        <f>+'Приложение №2'!E655-'Приложение №1'!P646-'Приложение №1'!R646-'Приложение №1'!S646</f>
        <v>30456085.791877612</v>
      </c>
      <c r="U646" s="65">
        <f t="shared" si="390"/>
        <v>7573.9732792899049</v>
      </c>
      <c r="V646" s="65">
        <v>1330.2830200640001</v>
      </c>
      <c r="W646" s="126">
        <v>2024</v>
      </c>
      <c r="X646" s="74">
        <v>1827431.02</v>
      </c>
      <c r="Y646" s="74">
        <f>+(K646*9.1+L646*18.19)*12</f>
        <v>542898.72000000009</v>
      </c>
      <c r="AA646" s="129">
        <f>+N646-'[5]Приложение № 2'!E576</f>
        <v>-7491770.6677491888</v>
      </c>
      <c r="AD646" s="129">
        <f>+N646-'[5]Приложение № 2'!E576</f>
        <v>-7491770.6677491888</v>
      </c>
      <c r="AP646" s="128">
        <f>+N646-'Приложение №2'!E655</f>
        <v>0</v>
      </c>
      <c r="AQ646" s="38">
        <f>2885684.78-R358</f>
        <v>-532458.35999999987</v>
      </c>
      <c r="AR646" s="25">
        <f t="shared" si="429"/>
        <v>532458.3600000001</v>
      </c>
      <c r="AS646" s="25">
        <f>+(K646*10.5+L646*21)*12*30-S358</f>
        <v>0</v>
      </c>
      <c r="AT646" s="127">
        <f t="shared" si="394"/>
        <v>0</v>
      </c>
      <c r="AU646" s="127">
        <f>+P646-'[6]Приложение №1'!$P611</f>
        <v>0</v>
      </c>
      <c r="AV646" s="127">
        <f>+Q646-'[6]Приложение №1'!$Q611</f>
        <v>0</v>
      </c>
      <c r="AW646" s="88">
        <f t="shared" si="412"/>
        <v>37654765.555317692</v>
      </c>
      <c r="AX646" s="64"/>
      <c r="AY646" s="64"/>
      <c r="AZ646" s="64">
        <v>0</v>
      </c>
      <c r="BA646" s="64">
        <v>0</v>
      </c>
      <c r="BB646" s="64">
        <v>2013086.9508788427</v>
      </c>
      <c r="BC646" s="64"/>
      <c r="BD646" s="64"/>
      <c r="BE646" s="64">
        <v>0</v>
      </c>
      <c r="BF646" s="64"/>
      <c r="BG646" s="64">
        <v>0</v>
      </c>
      <c r="BH646" s="64">
        <v>34115262.518798999</v>
      </c>
      <c r="BI646" s="64"/>
      <c r="BJ646" s="64"/>
      <c r="BK646" s="65"/>
      <c r="BL646" s="66">
        <v>1526416.085639846</v>
      </c>
    </row>
    <row r="647" spans="1:64" s="74" customFormat="1" x14ac:dyDescent="0.25">
      <c r="A647" s="141">
        <f t="shared" si="399"/>
        <v>628</v>
      </c>
      <c r="B647" s="142">
        <f t="shared" si="400"/>
        <v>170</v>
      </c>
      <c r="C647" s="62" t="s">
        <v>52</v>
      </c>
      <c r="D647" s="62" t="s">
        <v>1099</v>
      </c>
      <c r="E647" s="123" t="s">
        <v>125</v>
      </c>
      <c r="F647" s="123"/>
      <c r="G647" s="123" t="s">
        <v>43</v>
      </c>
      <c r="H647" s="123" t="s">
        <v>105</v>
      </c>
      <c r="I647" s="123" t="s">
        <v>109</v>
      </c>
      <c r="J647" s="64">
        <v>5677.5</v>
      </c>
      <c r="K647" s="64">
        <v>4896.3999999999996</v>
      </c>
      <c r="L647" s="64">
        <v>72</v>
      </c>
      <c r="M647" s="124">
        <v>216</v>
      </c>
      <c r="N647" s="95">
        <f t="shared" ref="N647" si="438">+P647+Q647+R647+S647+T647</f>
        <v>2049950.8889439998</v>
      </c>
      <c r="O647" s="64">
        <v>0</v>
      </c>
      <c r="P647" s="65"/>
      <c r="Q647" s="65">
        <v>0</v>
      </c>
      <c r="R647" s="65">
        <f>+'Приложение №2'!E656</f>
        <v>2049950.8889439998</v>
      </c>
      <c r="S647" s="65"/>
      <c r="T647" s="65"/>
      <c r="U647" s="64">
        <f t="shared" ref="U647:V647" si="439">$N647/($K647+$L647)</f>
        <v>412.59779585862651</v>
      </c>
      <c r="V647" s="64">
        <f t="shared" si="439"/>
        <v>412.59779585862651</v>
      </c>
      <c r="W647" s="126">
        <v>2024</v>
      </c>
      <c r="X647" s="74">
        <v>1825680.39</v>
      </c>
      <c r="Y647" s="74">
        <f>+(K647*9.1+L647*18.19)*12</f>
        <v>550403.04</v>
      </c>
      <c r="AA647" s="129">
        <f>+N647-'[5]Приложение № 2'!E654</f>
        <v>2049950.8889439998</v>
      </c>
      <c r="AD647" s="129">
        <f>+N647-'[5]Приложение № 2'!E654</f>
        <v>2049950.8889439998</v>
      </c>
      <c r="AP647" s="128">
        <f>+N647-'Приложение №2'!E656</f>
        <v>0</v>
      </c>
      <c r="AQ647" s="143">
        <f>2265420.6-R359</f>
        <v>1332154.8400000001</v>
      </c>
      <c r="AR647" s="25">
        <f t="shared" ref="AR647" si="440">+(K647*10+L647*20)*12*0.85</f>
        <v>514120.8</v>
      </c>
      <c r="AS647" s="25">
        <f>+(K647*10+L647*20)*12*30-S359</f>
        <v>13036881.890000001</v>
      </c>
      <c r="AT647" s="127">
        <f t="shared" si="394"/>
        <v>-13036881.890000001</v>
      </c>
      <c r="AU647" s="127">
        <f>+P647-'[6]Приложение №1'!$P674</f>
        <v>-1497757.0491000004</v>
      </c>
      <c r="AV647" s="127">
        <f>+Q647-'[6]Приложение №1'!$Q674</f>
        <v>0</v>
      </c>
      <c r="AW647" s="63">
        <f t="shared" si="412"/>
        <v>2049950.8889439998</v>
      </c>
      <c r="AX647" s="64"/>
      <c r="AY647" s="64"/>
      <c r="AZ647" s="64"/>
      <c r="BA647" s="64"/>
      <c r="BB647" s="64">
        <v>2006081.9399205982</v>
      </c>
      <c r="BC647" s="64"/>
      <c r="BD647" s="64"/>
      <c r="BE647" s="64"/>
      <c r="BF647" s="64"/>
      <c r="BG647" s="64"/>
      <c r="BH647" s="64"/>
      <c r="BI647" s="97"/>
      <c r="BJ647" s="64"/>
      <c r="BK647" s="64"/>
      <c r="BL647" s="96">
        <f>43868.9490234015</f>
        <v>43868.949023401503</v>
      </c>
    </row>
    <row r="648" spans="1:64" x14ac:dyDescent="0.25">
      <c r="A648" s="141">
        <f t="shared" si="399"/>
        <v>629</v>
      </c>
      <c r="B648" s="142">
        <f t="shared" si="400"/>
        <v>171</v>
      </c>
      <c r="C648" s="62" t="s">
        <v>146</v>
      </c>
      <c r="D648" s="62" t="s">
        <v>1146</v>
      </c>
      <c r="E648" s="123">
        <v>2004</v>
      </c>
      <c r="F648" s="123">
        <v>2005</v>
      </c>
      <c r="G648" s="123" t="s">
        <v>43</v>
      </c>
      <c r="H648" s="123">
        <v>7</v>
      </c>
      <c r="I648" s="123">
        <v>3</v>
      </c>
      <c r="J648" s="64">
        <v>3311.6</v>
      </c>
      <c r="K648" s="64">
        <v>2794.8</v>
      </c>
      <c r="L648" s="64">
        <v>0</v>
      </c>
      <c r="M648" s="124">
        <v>75</v>
      </c>
      <c r="N648" s="63">
        <f>SUM(O648:S648)</f>
        <v>6507525.8595053386</v>
      </c>
      <c r="O648" s="64"/>
      <c r="P648" s="65">
        <v>4793742.1716</v>
      </c>
      <c r="Q648" s="65"/>
      <c r="R648" s="65">
        <f>+AQ648+AR648</f>
        <v>397672.092</v>
      </c>
      <c r="S648" s="25">
        <f>+'Приложение №2'!E657-'Приложение №1'!P648-'Приложение №1'!R648</f>
        <v>1316111.5959053386</v>
      </c>
      <c r="U648" s="65">
        <f t="shared" si="390"/>
        <v>2328.4406252702656</v>
      </c>
      <c r="V648" s="65">
        <v>1332.2830200640001</v>
      </c>
      <c r="W648" s="126">
        <v>2024</v>
      </c>
      <c r="X648" s="127" t="e">
        <f>+#REF!-'[1]Приложение №1'!$P715</f>
        <v>#REF!</v>
      </c>
      <c r="Z648" s="63">
        <f t="shared" ref="Z648:Z696" si="441">SUM(AA648:AO648)</f>
        <v>6068209.5</v>
      </c>
      <c r="AA648" s="64">
        <v>5838134.5613640007</v>
      </c>
      <c r="AB648" s="64">
        <v>0</v>
      </c>
      <c r="AC648" s="64">
        <v>0</v>
      </c>
      <c r="AD648" s="64">
        <v>0</v>
      </c>
      <c r="AE648" s="64">
        <v>0</v>
      </c>
      <c r="AF648" s="64"/>
      <c r="AG648" s="64">
        <v>0</v>
      </c>
      <c r="AH648" s="64">
        <v>0</v>
      </c>
      <c r="AI648" s="64">
        <v>0</v>
      </c>
      <c r="AJ648" s="64">
        <v>0</v>
      </c>
      <c r="AK648" s="64">
        <v>0</v>
      </c>
      <c r="AL648" s="64">
        <v>0</v>
      </c>
      <c r="AM648" s="64">
        <v>99958.34</v>
      </c>
      <c r="AN648" s="64">
        <v>2448.42</v>
      </c>
      <c r="AO648" s="66">
        <v>127668.17863600001</v>
      </c>
      <c r="AP648" s="128">
        <f>+N648-'Приложение №2'!E657</f>
        <v>0</v>
      </c>
      <c r="AR648" s="25">
        <f>+(K648*13.95+L648*23.65)*12*0.85</f>
        <v>397672.092</v>
      </c>
      <c r="AS648" s="25">
        <f>+(K648*13.95+L648*23.65)*12*30</f>
        <v>14035485.600000001</v>
      </c>
      <c r="AT648" s="127">
        <f t="shared" si="394"/>
        <v>-12719374.004094662</v>
      </c>
      <c r="AU648" s="127">
        <f>+P648-'[6]Приложение №1'!$P613</f>
        <v>0</v>
      </c>
      <c r="AV648" s="127">
        <f>+Q648-'[6]Приложение №1'!$Q613</f>
        <v>0</v>
      </c>
      <c r="AW648" s="88">
        <f t="shared" si="412"/>
        <v>6507525.8595053386</v>
      </c>
      <c r="AX648" s="64">
        <v>6068202.4410059536</v>
      </c>
      <c r="AY648" s="64">
        <v>0</v>
      </c>
      <c r="AZ648" s="64">
        <v>0</v>
      </c>
      <c r="BA648" s="64">
        <v>0</v>
      </c>
      <c r="BB648" s="64">
        <v>0</v>
      </c>
      <c r="BC648" s="64">
        <v>0</v>
      </c>
      <c r="BD648" s="64">
        <v>314554.40909568005</v>
      </c>
      <c r="BE648" s="64">
        <v>0</v>
      </c>
      <c r="BF648" s="64">
        <v>0</v>
      </c>
      <c r="BG648" s="64">
        <v>0</v>
      </c>
      <c r="BH648" s="64">
        <v>0</v>
      </c>
      <c r="BI648" s="64">
        <v>0</v>
      </c>
      <c r="BJ648" s="64"/>
      <c r="BK648" s="64"/>
      <c r="BL648" s="66">
        <v>124769.00940370458</v>
      </c>
    </row>
    <row r="649" spans="1:64" x14ac:dyDescent="0.25">
      <c r="A649" s="141">
        <f t="shared" si="399"/>
        <v>630</v>
      </c>
      <c r="B649" s="142">
        <f t="shared" si="400"/>
        <v>172</v>
      </c>
      <c r="C649" s="62" t="s">
        <v>52</v>
      </c>
      <c r="D649" s="62" t="s">
        <v>730</v>
      </c>
      <c r="E649" s="123">
        <v>1968</v>
      </c>
      <c r="F649" s="123">
        <v>2013</v>
      </c>
      <c r="G649" s="123" t="s">
        <v>43</v>
      </c>
      <c r="H649" s="123">
        <v>4</v>
      </c>
      <c r="I649" s="123">
        <v>3</v>
      </c>
      <c r="J649" s="64">
        <v>2488.5</v>
      </c>
      <c r="K649" s="64">
        <v>2348.1999999999998</v>
      </c>
      <c r="L649" s="64">
        <v>69.599999999999994</v>
      </c>
      <c r="M649" s="124">
        <v>56</v>
      </c>
      <c r="N649" s="63">
        <f t="shared" ref="N649:N697" si="442">SUM(O649:T649)</f>
        <v>20146121.863996748</v>
      </c>
      <c r="O649" s="64"/>
      <c r="P649" s="65"/>
      <c r="Q649" s="65"/>
      <c r="R649" s="65">
        <f t="shared" ref="R649:R660" si="443">+AQ649+AR649</f>
        <v>309986.66999999987</v>
      </c>
      <c r="S649" s="65">
        <f>+AS649</f>
        <v>447731.99999999814</v>
      </c>
      <c r="T649" s="65">
        <f>+'Приложение №2'!E658-'Приложение №1'!P649-'Приложение №1'!R649-'Приложение №1'!S649</f>
        <v>19388403.19399675</v>
      </c>
      <c r="U649" s="65">
        <f t="shared" si="390"/>
        <v>8579.3892615606637</v>
      </c>
      <c r="V649" s="65">
        <v>1333.2830200640001</v>
      </c>
      <c r="W649" s="126">
        <v>2024</v>
      </c>
      <c r="X649" s="127" t="e">
        <f>+#REF!-'[1]Приложение №1'!$P1446</f>
        <v>#REF!</v>
      </c>
      <c r="Z649" s="63">
        <f t="shared" si="441"/>
        <v>5047649.354092991</v>
      </c>
      <c r="AA649" s="64">
        <v>0</v>
      </c>
      <c r="AB649" s="64">
        <v>2080965.3426794703</v>
      </c>
      <c r="AC649" s="64">
        <v>0</v>
      </c>
      <c r="AD649" s="64">
        <v>1397905.6390375202</v>
      </c>
      <c r="AE649" s="64">
        <v>1036272.8319720001</v>
      </c>
      <c r="AF649" s="64"/>
      <c r="AG649" s="64">
        <v>210866.25214200001</v>
      </c>
      <c r="AH649" s="64">
        <v>0</v>
      </c>
      <c r="AI649" s="64">
        <v>0</v>
      </c>
      <c r="AJ649" s="64">
        <v>0</v>
      </c>
      <c r="AK649" s="64">
        <v>0</v>
      </c>
      <c r="AL649" s="64">
        <v>0</v>
      </c>
      <c r="AM649" s="64">
        <v>173345.08000000002</v>
      </c>
      <c r="AN649" s="64">
        <v>44945.94</v>
      </c>
      <c r="AO649" s="66">
        <v>103348.268262</v>
      </c>
      <c r="AP649" s="128">
        <f>+N649-'Приложение №2'!E658</f>
        <v>0</v>
      </c>
      <c r="AQ649" s="38">
        <f>1546040.99-R360</f>
        <v>43586.129999999888</v>
      </c>
      <c r="AR649" s="25">
        <f>+(K649*10.5+L649*21)*12*0.85</f>
        <v>266400.53999999998</v>
      </c>
      <c r="AS649" s="25">
        <f>+(K649*10.5+L649*21)*12*30-S360</f>
        <v>447731.99999999814</v>
      </c>
      <c r="AT649" s="127">
        <f t="shared" si="394"/>
        <v>0</v>
      </c>
      <c r="AU649" s="127">
        <f>+P649-'[6]Приложение №1'!$P614</f>
        <v>0</v>
      </c>
      <c r="AV649" s="127">
        <f>+Q649-'[6]Приложение №1'!$Q614</f>
        <v>0</v>
      </c>
      <c r="AW649" s="88">
        <f t="shared" si="412"/>
        <v>20146121.863996748</v>
      </c>
      <c r="AX649" s="64">
        <v>0</v>
      </c>
      <c r="AY649" s="64"/>
      <c r="AZ649" s="64">
        <v>0</v>
      </c>
      <c r="BA649" s="64"/>
      <c r="BB649" s="64">
        <v>1007894.07</v>
      </c>
      <c r="BC649" s="64"/>
      <c r="BD649" s="64"/>
      <c r="BE649" s="64">
        <v>0</v>
      </c>
      <c r="BF649" s="64">
        <v>0</v>
      </c>
      <c r="BG649" s="64">
        <v>0</v>
      </c>
      <c r="BH649" s="64">
        <v>16591013.299129495</v>
      </c>
      <c r="BI649" s="64"/>
      <c r="BJ649" s="64">
        <v>1796136.5285136958</v>
      </c>
      <c r="BK649" s="64">
        <v>191715.22968136959</v>
      </c>
      <c r="BL649" s="66">
        <v>559362.7366721906</v>
      </c>
    </row>
    <row r="650" spans="1:64" s="74" customFormat="1" x14ac:dyDescent="0.25">
      <c r="A650" s="141">
        <f t="shared" si="399"/>
        <v>631</v>
      </c>
      <c r="B650" s="142">
        <f t="shared" si="400"/>
        <v>173</v>
      </c>
      <c r="C650" s="62" t="s">
        <v>52</v>
      </c>
      <c r="D650" s="62" t="s">
        <v>731</v>
      </c>
      <c r="E650" s="123" t="s">
        <v>111</v>
      </c>
      <c r="F650" s="123"/>
      <c r="G650" s="123" t="s">
        <v>43</v>
      </c>
      <c r="H650" s="123" t="s">
        <v>108</v>
      </c>
      <c r="I650" s="123" t="s">
        <v>105</v>
      </c>
      <c r="J650" s="64">
        <v>4831.3</v>
      </c>
      <c r="K650" s="64">
        <v>4321.7</v>
      </c>
      <c r="L650" s="64">
        <v>0</v>
      </c>
      <c r="M650" s="124">
        <v>196</v>
      </c>
      <c r="N650" s="95">
        <f>+P650+Q650+R650+S650+T650</f>
        <v>2151481.9070239998</v>
      </c>
      <c r="O650" s="64">
        <v>0</v>
      </c>
      <c r="P650" s="65"/>
      <c r="Q650" s="65">
        <v>0</v>
      </c>
      <c r="R650" s="65">
        <f>+AQ650+AR650</f>
        <v>1333089.1699999997</v>
      </c>
      <c r="S650" s="65">
        <f>+'Приложение №2'!E659-'Приложение №1'!R650</f>
        <v>818392.73702400015</v>
      </c>
      <c r="T650" s="65">
        <v>0</v>
      </c>
      <c r="U650" s="64">
        <f>$N650/($K650+$L650)</f>
        <v>497.83231298424232</v>
      </c>
      <c r="V650" s="64">
        <f>$N650/($K650+$L650)</f>
        <v>497.83231298424232</v>
      </c>
      <c r="W650" s="126">
        <v>2024</v>
      </c>
      <c r="X650" s="74">
        <v>1600156.79</v>
      </c>
      <c r="Y650" s="74">
        <f>+(K650*9.1+L650*18.19)*12</f>
        <v>471929.6399999999</v>
      </c>
      <c r="AA650" s="129">
        <f>+N650-'[5]Приложение № 2'!E310</f>
        <v>858040.46702400013</v>
      </c>
      <c r="AD650" s="129">
        <f>+N650-'[5]Приложение № 2'!E310</f>
        <v>858040.46702400013</v>
      </c>
      <c r="AP650" s="128">
        <f>+N650-'Приложение №2'!E659</f>
        <v>0</v>
      </c>
      <c r="AQ650" s="74">
        <f>2071971.63-1179695.86</f>
        <v>892275.76999999979</v>
      </c>
      <c r="AR650" s="25">
        <f>+(K650*10+L650*20)*12*0.85</f>
        <v>440813.39999999997</v>
      </c>
      <c r="AS650" s="25">
        <f>+(K650*10+L650*20)*12*30-1591931.69</f>
        <v>13966188.310000001</v>
      </c>
      <c r="AT650" s="127">
        <f>+S650-AS650</f>
        <v>-13147795.572976001</v>
      </c>
      <c r="AU650" s="127">
        <f>+P650-'[6]Приложение №1'!$P331</f>
        <v>-614563.23999999987</v>
      </c>
      <c r="AV650" s="127">
        <f>+Q650-'[6]Приложение №1'!$Q331</f>
        <v>0</v>
      </c>
      <c r="AW650" s="63">
        <f>SUBTOTAL(9,AX650:BL650)</f>
        <v>2151481.9070239998</v>
      </c>
      <c r="AX650" s="72"/>
      <c r="AY650" s="72"/>
      <c r="AZ650" s="72"/>
      <c r="BA650" s="72"/>
      <c r="BB650" s="64">
        <v>1843469.3852256862</v>
      </c>
      <c r="BC650" s="64"/>
      <c r="BD650" s="64"/>
      <c r="BE650" s="64"/>
      <c r="BF650" s="64"/>
      <c r="BG650" s="64"/>
      <c r="BH650" s="64"/>
      <c r="BI650" s="64"/>
      <c r="BJ650" s="64">
        <v>267699.57999999996</v>
      </c>
      <c r="BK650" s="64"/>
      <c r="BL650" s="96">
        <v>40312.941798313601</v>
      </c>
    </row>
    <row r="651" spans="1:64" s="74" customFormat="1" x14ac:dyDescent="0.25">
      <c r="A651" s="141">
        <f t="shared" si="399"/>
        <v>632</v>
      </c>
      <c r="B651" s="142">
        <f t="shared" si="400"/>
        <v>174</v>
      </c>
      <c r="C651" s="62" t="s">
        <v>52</v>
      </c>
      <c r="D651" s="62" t="s">
        <v>732</v>
      </c>
      <c r="E651" s="123" t="s">
        <v>104</v>
      </c>
      <c r="F651" s="123"/>
      <c r="G651" s="123" t="s">
        <v>43</v>
      </c>
      <c r="H651" s="123" t="s">
        <v>108</v>
      </c>
      <c r="I651" s="123" t="s">
        <v>105</v>
      </c>
      <c r="J651" s="64">
        <v>4859.5</v>
      </c>
      <c r="K651" s="64">
        <v>4274.3</v>
      </c>
      <c r="L651" s="64">
        <v>0</v>
      </c>
      <c r="M651" s="124">
        <v>197</v>
      </c>
      <c r="N651" s="95">
        <f>+P651+Q651+R651+S651+T651</f>
        <v>2154465.066112</v>
      </c>
      <c r="O651" s="64">
        <v>0</v>
      </c>
      <c r="P651" s="65"/>
      <c r="Q651" s="65">
        <v>0</v>
      </c>
      <c r="R651" s="65">
        <f>+'Приложение №2'!E660</f>
        <v>2154465.066112</v>
      </c>
      <c r="S651" s="65">
        <f>+'Приложение №2'!E660-'Приложение №1'!R651</f>
        <v>0</v>
      </c>
      <c r="T651" s="65">
        <v>0</v>
      </c>
      <c r="U651" s="64">
        <f>$N651/($K651+$L651)</f>
        <v>504.05097117937436</v>
      </c>
      <c r="V651" s="64">
        <f>$N651/($K651+$L651)</f>
        <v>504.05097117937436</v>
      </c>
      <c r="W651" s="126">
        <v>2024</v>
      </c>
      <c r="X651" s="74">
        <v>1625579.3</v>
      </c>
      <c r="Y651" s="74">
        <f>+(K651*9.1+L651*18.19)*12</f>
        <v>466753.55999999994</v>
      </c>
      <c r="AA651" s="129">
        <f>+N651-'[5]Приложение № 2'!E311</f>
        <v>1010441.4261120001</v>
      </c>
      <c r="AD651" s="129">
        <f>+N651-'[5]Приложение № 2'!E311</f>
        <v>1010441.4261120001</v>
      </c>
      <c r="AP651" s="128">
        <f>+N651-'Приложение №2'!E660</f>
        <v>0</v>
      </c>
      <c r="AQ651" s="74">
        <v>2094059.07</v>
      </c>
      <c r="AR651" s="25">
        <f>+(K651*10+L651*20)*12*0.85</f>
        <v>435978.6</v>
      </c>
      <c r="AS651" s="25">
        <f>+(K651*10+L651*20)*12*30</f>
        <v>15387480</v>
      </c>
      <c r="AT651" s="127">
        <f>+S651-AS651</f>
        <v>-15387480</v>
      </c>
      <c r="AU651" s="127">
        <f>+P651-'[6]Приложение №1'!$P332</f>
        <v>0</v>
      </c>
      <c r="AV651" s="127">
        <f>+Q651-'[6]Приложение №1'!$Q332</f>
        <v>0</v>
      </c>
      <c r="AW651" s="63">
        <f>SUBTOTAL(9,AX651:BL651)</f>
        <v>2154465.066112</v>
      </c>
      <c r="AX651" s="72"/>
      <c r="AY651" s="72"/>
      <c r="AZ651" s="72"/>
      <c r="BA651" s="72"/>
      <c r="BB651" s="64">
        <v>1847918.7164512032</v>
      </c>
      <c r="BC651" s="64"/>
      <c r="BD651" s="64"/>
      <c r="BE651" s="64"/>
      <c r="BF651" s="64"/>
      <c r="BG651" s="64"/>
      <c r="BH651" s="64"/>
      <c r="BI651" s="64"/>
      <c r="BJ651" s="64">
        <v>266136.11</v>
      </c>
      <c r="BK651" s="64"/>
      <c r="BL651" s="96">
        <v>40410.239660796804</v>
      </c>
    </row>
    <row r="652" spans="1:64" s="74" customFormat="1" x14ac:dyDescent="0.25">
      <c r="A652" s="141">
        <f t="shared" si="399"/>
        <v>633</v>
      </c>
      <c r="B652" s="142">
        <f t="shared" si="400"/>
        <v>175</v>
      </c>
      <c r="C652" s="62" t="s">
        <v>52</v>
      </c>
      <c r="D652" s="62" t="s">
        <v>733</v>
      </c>
      <c r="E652" s="123" t="s">
        <v>124</v>
      </c>
      <c r="F652" s="123"/>
      <c r="G652" s="123" t="s">
        <v>43</v>
      </c>
      <c r="H652" s="123" t="s">
        <v>105</v>
      </c>
      <c r="I652" s="123" t="s">
        <v>105</v>
      </c>
      <c r="J652" s="64">
        <v>2960.3</v>
      </c>
      <c r="K652" s="64">
        <v>2725</v>
      </c>
      <c r="L652" s="64">
        <v>0</v>
      </c>
      <c r="M652" s="124">
        <v>121</v>
      </c>
      <c r="N652" s="95">
        <f t="shared" ref="N652:N654" si="444">+P652+Q652+R652+S652+T652</f>
        <v>22787709.535587616</v>
      </c>
      <c r="O652" s="64">
        <v>0</v>
      </c>
      <c r="P652" s="65">
        <v>2155250.5499999993</v>
      </c>
      <c r="Q652" s="65">
        <v>0</v>
      </c>
      <c r="R652" s="65">
        <f t="shared" ref="R652:R654" si="445">+AQ652+AR652</f>
        <v>0</v>
      </c>
      <c r="S652" s="65">
        <f>+AS652</f>
        <v>1087370.7826854195</v>
      </c>
      <c r="T652" s="65">
        <f>+'Приложение №2'!E661-'Приложение №1'!P652-'Приложение №1'!Q652-'Приложение №1'!R652-'Приложение №1'!S652</f>
        <v>19545088.202902198</v>
      </c>
      <c r="U652" s="64">
        <f t="shared" ref="U652:V654" si="446">$N652/($K652+$L652)</f>
        <v>8362.4622148945382</v>
      </c>
      <c r="V652" s="64">
        <f t="shared" si="446"/>
        <v>8362.4622148945382</v>
      </c>
      <c r="W652" s="126">
        <v>2024</v>
      </c>
      <c r="X652" s="74">
        <v>1033423.53</v>
      </c>
      <c r="Y652" s="74">
        <f>+(K652*9.1+L652*18.19)*12</f>
        <v>297570</v>
      </c>
      <c r="AA652" s="129">
        <f>+N652-'[5]Приложение № 2'!E658</f>
        <v>22787709.535587616</v>
      </c>
      <c r="AD652" s="129">
        <f>+N652-'[5]Приложение № 2'!E658</f>
        <v>22787709.535587616</v>
      </c>
      <c r="AP652" s="128">
        <f>+N652-'Приложение №2'!E661</f>
        <v>0</v>
      </c>
      <c r="AQ652" s="143">
        <f>1333137.2-R361</f>
        <v>-277950</v>
      </c>
      <c r="AR652" s="25">
        <f t="shared" ref="AR652:AR654" si="447">+(K652*10+L652*20)*12*0.85</f>
        <v>277950</v>
      </c>
      <c r="AS652" s="25">
        <f>+(K652*10+L652*20)*12*30-S361</f>
        <v>1087370.7826854195</v>
      </c>
      <c r="AT652" s="127">
        <f t="shared" ref="AT652:AT654" si="448">+S652-AS652</f>
        <v>0</v>
      </c>
      <c r="AU652" s="127">
        <f>+P652-'[6]Приложение №1'!$P679</f>
        <v>2155250.5499999993</v>
      </c>
      <c r="AV652" s="127">
        <f>+Q652-'[6]Приложение №1'!$Q679</f>
        <v>0</v>
      </c>
      <c r="AW652" s="63">
        <f t="shared" ref="AW652:AW654" si="449">SUBTOTAL(9,AX652:BL652)</f>
        <v>20530546.245062124</v>
      </c>
      <c r="AX652" s="72"/>
      <c r="AY652" s="72"/>
      <c r="AZ652" s="72"/>
      <c r="BA652" s="64"/>
      <c r="BB652" s="64">
        <v>1170100.2345370059</v>
      </c>
      <c r="BC652" s="64"/>
      <c r="BD652" s="64"/>
      <c r="BE652" s="64"/>
      <c r="BF652" s="64"/>
      <c r="BG652" s="64"/>
      <c r="BH652" s="64">
        <v>18699028.554937501</v>
      </c>
      <c r="BI652" s="64"/>
      <c r="BJ652" s="64"/>
      <c r="BK652" s="64"/>
      <c r="BL652" s="96">
        <v>661417.45558761922</v>
      </c>
    </row>
    <row r="653" spans="1:64" x14ac:dyDescent="0.25">
      <c r="A653" s="141">
        <f t="shared" si="399"/>
        <v>634</v>
      </c>
      <c r="B653" s="142">
        <f t="shared" si="400"/>
        <v>176</v>
      </c>
      <c r="C653" s="62" t="s">
        <v>52</v>
      </c>
      <c r="D653" s="62" t="s">
        <v>1051</v>
      </c>
      <c r="E653" s="123">
        <v>1975</v>
      </c>
      <c r="F653" s="123">
        <v>2013</v>
      </c>
      <c r="G653" s="123" t="s">
        <v>43</v>
      </c>
      <c r="H653" s="123">
        <v>4</v>
      </c>
      <c r="I653" s="123">
        <v>6</v>
      </c>
      <c r="J653" s="64">
        <v>5531.3</v>
      </c>
      <c r="K653" s="64">
        <v>4842.7</v>
      </c>
      <c r="L653" s="64">
        <v>189.7</v>
      </c>
      <c r="M653" s="124">
        <v>224</v>
      </c>
      <c r="N653" s="95">
        <f t="shared" si="444"/>
        <v>12989841.419538001</v>
      </c>
      <c r="O653" s="64"/>
      <c r="P653" s="65">
        <v>8083380.5966666685</v>
      </c>
      <c r="Q653" s="65"/>
      <c r="R653" s="65">
        <f t="shared" si="445"/>
        <v>1870118.55</v>
      </c>
      <c r="S653" s="65">
        <f>+AS653-11365609.46</f>
        <v>3036342.2698400002</v>
      </c>
      <c r="T653" s="65">
        <f>+'Приложение №2'!E662-'Приложение №1'!P653-'Приложение №1'!Q653-'Приложение №1'!R653-'Приложение №1'!S653</f>
        <v>3.0313320457935333E-3</v>
      </c>
      <c r="U653" s="64">
        <f t="shared" si="446"/>
        <v>2581.241836805103</v>
      </c>
      <c r="V653" s="64">
        <f t="shared" si="446"/>
        <v>2581.241836805103</v>
      </c>
      <c r="W653" s="126">
        <v>2024</v>
      </c>
      <c r="X653" s="127" t="e">
        <f>+#REF!-'[1]Приложение №1'!$P1452</f>
        <v>#REF!</v>
      </c>
      <c r="Z653" s="63">
        <f t="shared" ref="Z653:Z654" si="450">SUM(AA653:AO653)</f>
        <v>87511152.000000015</v>
      </c>
      <c r="AA653" s="64">
        <v>8013494.3878080007</v>
      </c>
      <c r="AB653" s="64">
        <v>4634422.8779520001</v>
      </c>
      <c r="AC653" s="64">
        <v>4898928.1239359993</v>
      </c>
      <c r="AD653" s="64">
        <v>3735474.3417600002</v>
      </c>
      <c r="AE653" s="64">
        <v>1492245.5325120001</v>
      </c>
      <c r="AF653" s="64"/>
      <c r="AG653" s="64">
        <v>398188.42560000002</v>
      </c>
      <c r="AH653" s="64">
        <v>0</v>
      </c>
      <c r="AI653" s="64">
        <v>14265240.0912</v>
      </c>
      <c r="AJ653" s="64">
        <v>0</v>
      </c>
      <c r="AK653" s="64">
        <v>27696044.559456002</v>
      </c>
      <c r="AL653" s="64">
        <v>10892499.105599999</v>
      </c>
      <c r="AM653" s="64">
        <v>8946956.6400000006</v>
      </c>
      <c r="AN653" s="65">
        <v>875111.52</v>
      </c>
      <c r="AO653" s="66">
        <v>1662546.394176</v>
      </c>
      <c r="AP653" s="128">
        <f>+N653-'Приложение №2'!E662</f>
        <v>0</v>
      </c>
      <c r="AQ653" s="127">
        <f>2505054.36-114158.29-322925.86-R362</f>
        <v>1337464.3500000001</v>
      </c>
      <c r="AR653" s="25">
        <f t="shared" si="447"/>
        <v>532654.19999999995</v>
      </c>
      <c r="AS653" s="25">
        <f>+(K653*10+L653*20)*12*30-S362</f>
        <v>14401951.729840001</v>
      </c>
      <c r="AT653" s="127">
        <f t="shared" si="448"/>
        <v>-11365609.460000001</v>
      </c>
      <c r="AU653" s="127">
        <f>+P653-'[6]Приложение №1'!$P680</f>
        <v>7050735.6116651688</v>
      </c>
      <c r="AV653" s="127">
        <f>+Q653-'[6]Приложение №1'!$Q680</f>
        <v>0</v>
      </c>
      <c r="AW653" s="63">
        <f t="shared" si="449"/>
        <v>12989841.419538001</v>
      </c>
      <c r="AX653" s="64"/>
      <c r="AY653" s="64"/>
      <c r="AZ653" s="64"/>
      <c r="BA653" s="64"/>
      <c r="BB653" s="64"/>
      <c r="BC653" s="64"/>
      <c r="BD653" s="64"/>
      <c r="BE653" s="64">
        <v>0</v>
      </c>
      <c r="BF653" s="64"/>
      <c r="BG653" s="64">
        <v>0</v>
      </c>
      <c r="BH653" s="64"/>
      <c r="BI653" s="64">
        <v>12056585.131878</v>
      </c>
      <c r="BJ653" s="64"/>
      <c r="BK653" s="65"/>
      <c r="BL653" s="66">
        <v>933256.28766000003</v>
      </c>
    </row>
    <row r="654" spans="1:64" x14ac:dyDescent="0.25">
      <c r="A654" s="141">
        <f t="shared" si="399"/>
        <v>635</v>
      </c>
      <c r="B654" s="142">
        <f t="shared" si="400"/>
        <v>177</v>
      </c>
      <c r="C654" s="62" t="s">
        <v>52</v>
      </c>
      <c r="D654" s="62" t="s">
        <v>1052</v>
      </c>
      <c r="E654" s="123">
        <v>1974</v>
      </c>
      <c r="F654" s="123">
        <v>2013</v>
      </c>
      <c r="G654" s="123" t="s">
        <v>43</v>
      </c>
      <c r="H654" s="123">
        <v>4</v>
      </c>
      <c r="I654" s="123">
        <v>4</v>
      </c>
      <c r="J654" s="64">
        <v>3940.9</v>
      </c>
      <c r="K654" s="64">
        <v>3373.8</v>
      </c>
      <c r="L654" s="64">
        <v>212.7</v>
      </c>
      <c r="M654" s="124">
        <v>140</v>
      </c>
      <c r="N654" s="95">
        <f t="shared" si="444"/>
        <v>2202974.3462407398</v>
      </c>
      <c r="O654" s="64"/>
      <c r="P654" s="65"/>
      <c r="Q654" s="65"/>
      <c r="R654" s="65">
        <f t="shared" si="445"/>
        <v>1982331.96</v>
      </c>
      <c r="S654" s="65">
        <f>+'Приложение №2'!E663-'Приложение №1'!R654</f>
        <v>220642.38624073984</v>
      </c>
      <c r="T654" s="65"/>
      <c r="U654" s="64">
        <f t="shared" si="446"/>
        <v>614.24072110434679</v>
      </c>
      <c r="V654" s="64">
        <f t="shared" si="446"/>
        <v>614.24072110434679</v>
      </c>
      <c r="W654" s="126">
        <v>2024</v>
      </c>
      <c r="X654" s="127" t="e">
        <f>+#REF!-'[1]Приложение №1'!$P1651</f>
        <v>#REF!</v>
      </c>
      <c r="Z654" s="63">
        <f t="shared" si="450"/>
        <v>62533714.207893997</v>
      </c>
      <c r="AA654" s="64">
        <v>6056878.3300000001</v>
      </c>
      <c r="AB654" s="64">
        <v>3324136.3562038802</v>
      </c>
      <c r="AC654" s="64">
        <v>3513858.2605085401</v>
      </c>
      <c r="AD654" s="64">
        <v>2679346.7940094802</v>
      </c>
      <c r="AE654" s="64">
        <v>1070344.1973180603</v>
      </c>
      <c r="AF654" s="64"/>
      <c r="AG654" s="64">
        <v>285608.94385380001</v>
      </c>
      <c r="AH654" s="64">
        <v>0</v>
      </c>
      <c r="AI654" s="64">
        <v>10232040.652318798</v>
      </c>
      <c r="AJ654" s="64">
        <v>0</v>
      </c>
      <c r="AK654" s="64">
        <v>19865564.963811003</v>
      </c>
      <c r="AL654" s="64">
        <v>7812871.9105562996</v>
      </c>
      <c r="AM654" s="64">
        <v>5963728.8811999997</v>
      </c>
      <c r="AN654" s="65">
        <v>570673.40870000003</v>
      </c>
      <c r="AO654" s="66">
        <v>1158661.5094141401</v>
      </c>
      <c r="AP654" s="128">
        <f>+N654-'Приложение №2'!E663</f>
        <v>0</v>
      </c>
      <c r="AQ654" s="127">
        <f>1707386.79-112573.23-R364</f>
        <v>1594813.56</v>
      </c>
      <c r="AR654" s="25">
        <f t="shared" si="447"/>
        <v>387518.39999999997</v>
      </c>
      <c r="AS654" s="25">
        <f>+(K654*10+L654*20)*12*30-810211.65-S364</f>
        <v>10542328.346240738</v>
      </c>
      <c r="AT654" s="127">
        <f t="shared" si="448"/>
        <v>-10321685.959999999</v>
      </c>
      <c r="AU654" s="127">
        <f>+P654-'[6]Приложение №1'!$P680</f>
        <v>-1032644.9850015</v>
      </c>
      <c r="AV654" s="127">
        <f>+Q654-'[6]Приложение №1'!$Q680</f>
        <v>0</v>
      </c>
      <c r="AW654" s="63">
        <f t="shared" si="449"/>
        <v>2202974.3462407398</v>
      </c>
      <c r="AX654" s="64"/>
      <c r="AY654" s="64"/>
      <c r="AZ654" s="64"/>
      <c r="BA654" s="64"/>
      <c r="BB654" s="64"/>
      <c r="BC654" s="64"/>
      <c r="BD654" s="64"/>
      <c r="BE654" s="64"/>
      <c r="BF654" s="64"/>
      <c r="BG654" s="64"/>
      <c r="BH654" s="64"/>
      <c r="BI654" s="64">
        <v>1144560.06</v>
      </c>
      <c r="BJ654" s="64"/>
      <c r="BK654" s="65"/>
      <c r="BL654" s="66">
        <v>1058414.2862407397</v>
      </c>
    </row>
    <row r="655" spans="1:64" x14ac:dyDescent="0.25">
      <c r="A655" s="141">
        <f t="shared" si="399"/>
        <v>636</v>
      </c>
      <c r="B655" s="142">
        <f t="shared" si="400"/>
        <v>178</v>
      </c>
      <c r="C655" s="62" t="s">
        <v>52</v>
      </c>
      <c r="D655" s="62" t="s">
        <v>705</v>
      </c>
      <c r="E655" s="123">
        <v>1977</v>
      </c>
      <c r="F655" s="123">
        <v>2013</v>
      </c>
      <c r="G655" s="123" t="s">
        <v>43</v>
      </c>
      <c r="H655" s="123">
        <v>9</v>
      </c>
      <c r="I655" s="123">
        <v>1</v>
      </c>
      <c r="J655" s="64">
        <v>2365.9899999999998</v>
      </c>
      <c r="K655" s="64">
        <v>1903.5</v>
      </c>
      <c r="L655" s="64">
        <v>136</v>
      </c>
      <c r="M655" s="124">
        <v>70</v>
      </c>
      <c r="N655" s="63">
        <f t="shared" si="442"/>
        <v>19688769.921190277</v>
      </c>
      <c r="O655" s="64"/>
      <c r="P655" s="65">
        <v>3855238.9237903948</v>
      </c>
      <c r="Q655" s="65"/>
      <c r="R655" s="65">
        <f t="shared" si="443"/>
        <v>1788368.86560442</v>
      </c>
      <c r="S655" s="65">
        <f>+AS655</f>
        <v>10217097.589999998</v>
      </c>
      <c r="T655" s="65">
        <f>+'Приложение №2'!E664-'Приложение №1'!P655-'Приложение №1'!Q655-'Приложение №1'!R655-'Приложение №1'!S655</f>
        <v>3828064.5417954642</v>
      </c>
      <c r="U655" s="65">
        <f t="shared" si="390"/>
        <v>10343.456748720922</v>
      </c>
      <c r="V655" s="65">
        <v>1334.2830200640001</v>
      </c>
      <c r="W655" s="126">
        <v>2024</v>
      </c>
      <c r="X655" s="127" t="e">
        <f>+#REF!-'[1]Приложение №1'!$P1200</f>
        <v>#REF!</v>
      </c>
      <c r="Z655" s="63">
        <f t="shared" si="441"/>
        <v>26854433.359999996</v>
      </c>
      <c r="AA655" s="64">
        <v>3681294.5645548799</v>
      </c>
      <c r="AB655" s="64">
        <v>2450899.70770344</v>
      </c>
      <c r="AC655" s="64">
        <v>0</v>
      </c>
      <c r="AD655" s="64">
        <v>1346040.4200070801</v>
      </c>
      <c r="AE655" s="64">
        <v>491527.90003842005</v>
      </c>
      <c r="AF655" s="64"/>
      <c r="AG655" s="64">
        <v>205504.30800059999</v>
      </c>
      <c r="AH655" s="64">
        <v>0</v>
      </c>
      <c r="AI655" s="64">
        <v>0</v>
      </c>
      <c r="AJ655" s="64">
        <v>0</v>
      </c>
      <c r="AK655" s="64">
        <v>15124062.916324738</v>
      </c>
      <c r="AL655" s="64">
        <v>0</v>
      </c>
      <c r="AM655" s="64">
        <v>2777050.0558000002</v>
      </c>
      <c r="AN655" s="65">
        <v>268544.33360000001</v>
      </c>
      <c r="AO655" s="66">
        <v>509509.15397084004</v>
      </c>
      <c r="AP655" s="128">
        <f>+N655-'Приложение №2'!E664</f>
        <v>0</v>
      </c>
      <c r="AQ655" s="127">
        <f>1663489.1-R128</f>
        <v>1484712.57060442</v>
      </c>
      <c r="AR655" s="25">
        <f t="shared" ref="AR655:AR656" si="451">+(K655*13.95+L655*23.65)*12*0.85</f>
        <v>303656.29499999993</v>
      </c>
      <c r="AS655" s="25">
        <f>+(K655*13.95+L655*23.65)*12*30-S128</f>
        <v>10217097.589999998</v>
      </c>
      <c r="AT655" s="127">
        <f t="shared" si="394"/>
        <v>0</v>
      </c>
      <c r="AU655" s="127">
        <f>+P655-'[6]Приложение №1'!$P615</f>
        <v>0</v>
      </c>
      <c r="AV655" s="127">
        <f>+Q655-'[6]Приложение №1'!$Q615</f>
        <v>0</v>
      </c>
      <c r="AW655" s="88">
        <f t="shared" si="412"/>
        <v>19688769.921190277</v>
      </c>
      <c r="AX655" s="64"/>
      <c r="AY655" s="64"/>
      <c r="AZ655" s="64"/>
      <c r="BA655" s="64"/>
      <c r="BB655" s="64"/>
      <c r="BC655" s="64"/>
      <c r="BD655" s="64"/>
      <c r="BE655" s="64">
        <v>0</v>
      </c>
      <c r="BF655" s="64">
        <v>0</v>
      </c>
      <c r="BG655" s="64">
        <v>0</v>
      </c>
      <c r="BH655" s="64">
        <v>19267430.244876806</v>
      </c>
      <c r="BI655" s="64">
        <v>0</v>
      </c>
      <c r="BJ655" s="64"/>
      <c r="BK655" s="65"/>
      <c r="BL655" s="66">
        <v>421339.67631347192</v>
      </c>
    </row>
    <row r="656" spans="1:64" x14ac:dyDescent="0.25">
      <c r="A656" s="141">
        <f t="shared" si="399"/>
        <v>637</v>
      </c>
      <c r="B656" s="142">
        <f t="shared" si="400"/>
        <v>179</v>
      </c>
      <c r="C656" s="62" t="s">
        <v>52</v>
      </c>
      <c r="D656" s="62" t="s">
        <v>734</v>
      </c>
      <c r="E656" s="123">
        <v>1977</v>
      </c>
      <c r="F656" s="123">
        <v>2013</v>
      </c>
      <c r="G656" s="123" t="s">
        <v>43</v>
      </c>
      <c r="H656" s="123">
        <v>9</v>
      </c>
      <c r="I656" s="123">
        <v>1</v>
      </c>
      <c r="J656" s="64">
        <v>2366.89</v>
      </c>
      <c r="K656" s="64">
        <v>1904.8</v>
      </c>
      <c r="L656" s="64">
        <v>41.8</v>
      </c>
      <c r="M656" s="124">
        <v>59</v>
      </c>
      <c r="N656" s="63">
        <f t="shared" si="442"/>
        <v>18827653.340890028</v>
      </c>
      <c r="O656" s="64"/>
      <c r="P656" s="65">
        <v>4253791.2577114999</v>
      </c>
      <c r="Q656" s="65"/>
      <c r="R656" s="65">
        <f t="shared" si="443"/>
        <v>1567734.3659999999</v>
      </c>
      <c r="S656" s="65">
        <f>+AS656</f>
        <v>7004409.6675602188</v>
      </c>
      <c r="T656" s="65">
        <f>+'Приложение №2'!E665-'Приложение №1'!P656-'Приложение №1'!Q656-'Приложение №1'!R656-'Приложение №1'!S656</f>
        <v>6001718.0496183084</v>
      </c>
      <c r="U656" s="65">
        <f t="shared" si="390"/>
        <v>9884.3203175609142</v>
      </c>
      <c r="V656" s="65">
        <v>1335.2830200640001</v>
      </c>
      <c r="W656" s="126">
        <v>2024</v>
      </c>
      <c r="X656" s="127" t="e">
        <f>+#REF!-'[1]Приложение №1'!$P1201</f>
        <v>#REF!</v>
      </c>
      <c r="Z656" s="63">
        <f t="shared" si="441"/>
        <v>28541976.041246004</v>
      </c>
      <c r="AA656" s="64">
        <v>3719699.05</v>
      </c>
      <c r="AB656" s="64">
        <v>2452058.27684286</v>
      </c>
      <c r="AC656" s="64">
        <v>1492645.9296378</v>
      </c>
      <c r="AD656" s="64">
        <v>1346676.7170788401</v>
      </c>
      <c r="AE656" s="64">
        <v>491760.24805782002</v>
      </c>
      <c r="AF656" s="64"/>
      <c r="AG656" s="64">
        <v>205601.44794671997</v>
      </c>
      <c r="AH656" s="64">
        <v>0</v>
      </c>
      <c r="AI656" s="64">
        <v>0</v>
      </c>
      <c r="AJ656" s="64">
        <v>0</v>
      </c>
      <c r="AK656" s="64">
        <v>15131212.272876842</v>
      </c>
      <c r="AL656" s="64">
        <v>0</v>
      </c>
      <c r="AM656" s="64">
        <v>2959194.6140999999</v>
      </c>
      <c r="AN656" s="65">
        <v>245562.47510000001</v>
      </c>
      <c r="AO656" s="66">
        <v>497565.00960512011</v>
      </c>
      <c r="AP656" s="128">
        <f>+N656-'Приложение №2'!E665</f>
        <v>0</v>
      </c>
      <c r="AQ656" s="127">
        <f>1515170.38-R367</f>
        <v>1286616.96</v>
      </c>
      <c r="AR656" s="25">
        <f t="shared" si="451"/>
        <v>281117.40599999996</v>
      </c>
      <c r="AS656" s="25">
        <f>+(K656*13.95+L656*23.65)*12*30-S367</f>
        <v>7004409.6675602188</v>
      </c>
      <c r="AT656" s="127">
        <f t="shared" si="394"/>
        <v>0</v>
      </c>
      <c r="AU656" s="127">
        <f>+P656-'[6]Приложение №1'!$P616</f>
        <v>0</v>
      </c>
      <c r="AV656" s="127">
        <f>+Q656-'[6]Приложение №1'!$Q616</f>
        <v>0</v>
      </c>
      <c r="AW656" s="88">
        <f t="shared" si="412"/>
        <v>18827653.340890028</v>
      </c>
      <c r="AX656" s="64"/>
      <c r="AY656" s="64"/>
      <c r="AZ656" s="64"/>
      <c r="BA656" s="64"/>
      <c r="BB656" s="64"/>
      <c r="BC656" s="64"/>
      <c r="BD656" s="64"/>
      <c r="BE656" s="64">
        <v>0</v>
      </c>
      <c r="BF656" s="64">
        <v>0</v>
      </c>
      <c r="BG656" s="64">
        <v>0</v>
      </c>
      <c r="BH656" s="64">
        <v>18389791.475693647</v>
      </c>
      <c r="BI656" s="64">
        <v>0</v>
      </c>
      <c r="BJ656" s="64"/>
      <c r="BK656" s="65"/>
      <c r="BL656" s="66">
        <v>437861.86519638228</v>
      </c>
    </row>
    <row r="657" spans="1:64" x14ac:dyDescent="0.25">
      <c r="A657" s="141">
        <f t="shared" si="399"/>
        <v>638</v>
      </c>
      <c r="B657" s="142">
        <f t="shared" si="400"/>
        <v>180</v>
      </c>
      <c r="C657" s="62" t="s">
        <v>52</v>
      </c>
      <c r="D657" s="62" t="s">
        <v>1050</v>
      </c>
      <c r="E657" s="123">
        <v>1973</v>
      </c>
      <c r="F657" s="123">
        <v>2013</v>
      </c>
      <c r="G657" s="123" t="s">
        <v>43</v>
      </c>
      <c r="H657" s="123">
        <v>5</v>
      </c>
      <c r="I657" s="123">
        <v>8</v>
      </c>
      <c r="J657" s="64">
        <v>6624.9</v>
      </c>
      <c r="K657" s="64">
        <v>5826</v>
      </c>
      <c r="L657" s="64">
        <v>239.3</v>
      </c>
      <c r="M657" s="124">
        <v>272</v>
      </c>
      <c r="N657" s="63">
        <f t="shared" si="442"/>
        <v>81493773.256659895</v>
      </c>
      <c r="O657" s="64"/>
      <c r="P657" s="65">
        <v>5150859.8834408009</v>
      </c>
      <c r="Q657" s="65"/>
      <c r="R657" s="65">
        <f t="shared" si="443"/>
        <v>2299955.8877599998</v>
      </c>
      <c r="S657" s="65">
        <f>+AS657</f>
        <v>23831388.000000004</v>
      </c>
      <c r="T657" s="65">
        <f>+'Приложение №2'!E666-'Приложение №1'!P657-'Приложение №1'!R657-'Приложение №1'!S657</f>
        <v>50211569.485459089</v>
      </c>
      <c r="U657" s="65">
        <f t="shared" si="390"/>
        <v>13987.945976083058</v>
      </c>
      <c r="V657" s="65">
        <v>1337.2830200640001</v>
      </c>
      <c r="W657" s="126">
        <v>2024</v>
      </c>
      <c r="X657" s="127" t="e">
        <f>+#REF!-'[1]Приложение №1'!$P950</f>
        <v>#REF!</v>
      </c>
      <c r="Z657" s="63">
        <f t="shared" si="441"/>
        <v>68280809.790000007</v>
      </c>
      <c r="AA657" s="64">
        <v>14487752.111381641</v>
      </c>
      <c r="AB657" s="64">
        <v>5162581.6814224795</v>
      </c>
      <c r="AC657" s="64">
        <v>5393749.1598622799</v>
      </c>
      <c r="AD657" s="64">
        <v>3376828.00437696</v>
      </c>
      <c r="AE657" s="64">
        <v>2066066.6377251605</v>
      </c>
      <c r="AF657" s="64"/>
      <c r="AG657" s="64">
        <v>0</v>
      </c>
      <c r="AH657" s="64">
        <v>0</v>
      </c>
      <c r="AI657" s="64">
        <v>0</v>
      </c>
      <c r="AJ657" s="64">
        <v>0</v>
      </c>
      <c r="AK657" s="64">
        <v>13751557.888197359</v>
      </c>
      <c r="AL657" s="64">
        <v>14832664.840462981</v>
      </c>
      <c r="AM657" s="64">
        <v>7235033.8570000008</v>
      </c>
      <c r="AN657" s="65">
        <v>682808.09790000005</v>
      </c>
      <c r="AO657" s="66">
        <v>1291767.5116711401</v>
      </c>
      <c r="AP657" s="128">
        <f>+N657-'Приложение №2'!E666</f>
        <v>0</v>
      </c>
      <c r="AQ657" s="127">
        <f>3821279.57-R130</f>
        <v>1624733.2277599997</v>
      </c>
      <c r="AR657" s="25">
        <f t="shared" ref="AR657:AR658" si="452">+(K657*10.5+L657*21)*12*0.85</f>
        <v>675222.66</v>
      </c>
      <c r="AS657" s="25">
        <f>+(K657*10.5+L657*21)*12*30-S130</f>
        <v>23831388.000000004</v>
      </c>
      <c r="AT657" s="127">
        <f t="shared" si="394"/>
        <v>0</v>
      </c>
      <c r="AU657" s="127">
        <f>+P657-'[6]Приложение №1'!$P618</f>
        <v>0</v>
      </c>
      <c r="AV657" s="127">
        <f>+Q657-'[6]Приложение №1'!$Q618</f>
        <v>0</v>
      </c>
      <c r="AW657" s="88">
        <f t="shared" si="412"/>
        <v>81493773.256659895</v>
      </c>
      <c r="AX657" s="64">
        <v>17221734.28113259</v>
      </c>
      <c r="AY657" s="64">
        <v>6964417.7973911939</v>
      </c>
      <c r="AZ657" s="64">
        <v>7361880.4179572817</v>
      </c>
      <c r="BA657" s="64">
        <v>5613454.0810143603</v>
      </c>
      <c r="BB657" s="64"/>
      <c r="BC657" s="64"/>
      <c r="BD657" s="64">
        <v>660810.72921234637</v>
      </c>
      <c r="BE657" s="64">
        <v>0</v>
      </c>
      <c r="BF657" s="64">
        <v>0</v>
      </c>
      <c r="BG657" s="64">
        <v>0</v>
      </c>
      <c r="BH657" s="64">
        <v>41620263.447435759</v>
      </c>
      <c r="BI657" s="64"/>
      <c r="BJ657" s="64">
        <v>290539.34000000003</v>
      </c>
      <c r="BK657" s="65">
        <v>24000</v>
      </c>
      <c r="BL657" s="66">
        <v>1736673.1625163557</v>
      </c>
    </row>
    <row r="658" spans="1:64" x14ac:dyDescent="0.25">
      <c r="A658" s="141">
        <f t="shared" si="399"/>
        <v>639</v>
      </c>
      <c r="B658" s="142">
        <f t="shared" si="400"/>
        <v>181</v>
      </c>
      <c r="C658" s="62" t="s">
        <v>52</v>
      </c>
      <c r="D658" s="62" t="s">
        <v>767</v>
      </c>
      <c r="E658" s="123">
        <v>1978</v>
      </c>
      <c r="F658" s="123">
        <v>2013</v>
      </c>
      <c r="G658" s="123" t="s">
        <v>43</v>
      </c>
      <c r="H658" s="123">
        <v>4</v>
      </c>
      <c r="I658" s="123">
        <v>4</v>
      </c>
      <c r="J658" s="64">
        <v>3933.3</v>
      </c>
      <c r="K658" s="64">
        <v>3440.6</v>
      </c>
      <c r="L658" s="64">
        <v>0</v>
      </c>
      <c r="M658" s="124">
        <v>158</v>
      </c>
      <c r="N658" s="63">
        <f t="shared" si="442"/>
        <v>6961041.8632540004</v>
      </c>
      <c r="O658" s="64"/>
      <c r="P658" s="65"/>
      <c r="Q658" s="65"/>
      <c r="R658" s="65">
        <f t="shared" si="443"/>
        <v>0</v>
      </c>
      <c r="S658" s="65">
        <f>+'Приложение №2'!E667-'Приложение №1'!R658</f>
        <v>6961041.8632540004</v>
      </c>
      <c r="T658" s="65">
        <v>0</v>
      </c>
      <c r="U658" s="65">
        <f t="shared" si="390"/>
        <v>2023.2057964465503</v>
      </c>
      <c r="V658" s="65">
        <v>1338.2830200640001</v>
      </c>
      <c r="W658" s="126">
        <v>2024</v>
      </c>
      <c r="X658" s="127" t="e">
        <f>+#REF!-'[1]Приложение №1'!$P1105</f>
        <v>#REF!</v>
      </c>
      <c r="Z658" s="63">
        <f t="shared" si="441"/>
        <v>19368823.829999998</v>
      </c>
      <c r="AA658" s="64">
        <v>5746844.1079849806</v>
      </c>
      <c r="AB658" s="64">
        <v>3323557.0585698597</v>
      </c>
      <c r="AC658" s="64">
        <v>3513245.8927511401</v>
      </c>
      <c r="AD658" s="64">
        <v>2678879.85971676</v>
      </c>
      <c r="AE658" s="64">
        <v>1070157.6639255602</v>
      </c>
      <c r="AF658" s="64"/>
      <c r="AG658" s="64">
        <v>285559.1703006</v>
      </c>
      <c r="AH658" s="64">
        <v>0</v>
      </c>
      <c r="AI658" s="64">
        <v>0</v>
      </c>
      <c r="AJ658" s="64">
        <v>0</v>
      </c>
      <c r="AK658" s="64">
        <v>0</v>
      </c>
      <c r="AL658" s="64">
        <v>0</v>
      </c>
      <c r="AM658" s="64">
        <v>2193484.5052</v>
      </c>
      <c r="AN658" s="65">
        <v>193688.2383</v>
      </c>
      <c r="AO658" s="66">
        <v>363407.33325110003</v>
      </c>
      <c r="AP658" s="128">
        <f>+N658-'Приложение №2'!E667</f>
        <v>0</v>
      </c>
      <c r="AQ658" s="127">
        <f>2137015.38-102526.12-R369</f>
        <v>-368488.25999999978</v>
      </c>
      <c r="AR658" s="25">
        <f t="shared" si="452"/>
        <v>368488.25999999995</v>
      </c>
      <c r="AS658" s="25">
        <f>+(K658*10.5+L658*21)*12*30-S369</f>
        <v>9808315.5099585988</v>
      </c>
      <c r="AT658" s="127">
        <f t="shared" si="394"/>
        <v>-2847273.6467045983</v>
      </c>
      <c r="AU658" s="127">
        <f>+P658-'[6]Приложение №1'!$P619</f>
        <v>0</v>
      </c>
      <c r="AV658" s="127">
        <f>+Q658-'[6]Приложение №1'!$Q619</f>
        <v>0</v>
      </c>
      <c r="AW658" s="88">
        <f t="shared" si="412"/>
        <v>6961041.8632540004</v>
      </c>
      <c r="AX658" s="64">
        <v>6278778.3834300004</v>
      </c>
      <c r="AY658" s="64"/>
      <c r="AZ658" s="64"/>
      <c r="BA658" s="64"/>
      <c r="BB658" s="64"/>
      <c r="BC658" s="64"/>
      <c r="BD658" s="64">
        <v>285559.1703006</v>
      </c>
      <c r="BE658" s="64">
        <v>0</v>
      </c>
      <c r="BF658" s="64">
        <v>0</v>
      </c>
      <c r="BG658" s="64">
        <v>0</v>
      </c>
      <c r="BH658" s="64">
        <v>0</v>
      </c>
      <c r="BI658" s="64">
        <v>0</v>
      </c>
      <c r="BJ658" s="64">
        <v>78950.87950000001</v>
      </c>
      <c r="BK658" s="65">
        <v>20977.589500000002</v>
      </c>
      <c r="BL658" s="66">
        <v>296775.84052339999</v>
      </c>
    </row>
    <row r="659" spans="1:64" x14ac:dyDescent="0.25">
      <c r="A659" s="141">
        <f t="shared" si="399"/>
        <v>640</v>
      </c>
      <c r="B659" s="142">
        <f t="shared" si="400"/>
        <v>182</v>
      </c>
      <c r="C659" s="62" t="s">
        <v>52</v>
      </c>
      <c r="D659" s="62" t="s">
        <v>707</v>
      </c>
      <c r="E659" s="123">
        <v>1977</v>
      </c>
      <c r="F659" s="123">
        <v>2013</v>
      </c>
      <c r="G659" s="123" t="s">
        <v>43</v>
      </c>
      <c r="H659" s="123">
        <v>9</v>
      </c>
      <c r="I659" s="123">
        <v>1</v>
      </c>
      <c r="J659" s="64">
        <v>2362.6</v>
      </c>
      <c r="K659" s="64">
        <v>1902.4</v>
      </c>
      <c r="L659" s="64">
        <v>195.5</v>
      </c>
      <c r="M659" s="124">
        <v>72</v>
      </c>
      <c r="N659" s="63">
        <f t="shared" si="442"/>
        <v>20288255.938115433</v>
      </c>
      <c r="O659" s="64"/>
      <c r="P659" s="65">
        <v>4263457.8798470004</v>
      </c>
      <c r="Q659" s="65"/>
      <c r="R659" s="65">
        <f t="shared" si="443"/>
        <v>1994710.031</v>
      </c>
      <c r="S659" s="65">
        <f>+AS659</f>
        <v>9400959.3434900604</v>
      </c>
      <c r="T659" s="65">
        <f>+'Приложение №2'!E668-'Приложение №1'!P659-'Приложение №1'!R659-'Приложение №1'!S659</f>
        <v>4629128.6837783717</v>
      </c>
      <c r="U659" s="65">
        <f t="shared" si="390"/>
        <v>10664.558419951341</v>
      </c>
      <c r="V659" s="65">
        <v>1341.2830200640001</v>
      </c>
      <c r="W659" s="126">
        <v>2024</v>
      </c>
      <c r="X659" s="127" t="e">
        <f>+#REF!-'[1]Приложение №1'!$P1204</f>
        <v>#REF!</v>
      </c>
      <c r="Z659" s="63">
        <f t="shared" si="441"/>
        <v>28501175.670387998</v>
      </c>
      <c r="AA659" s="64">
        <v>3719699.05</v>
      </c>
      <c r="AB659" s="64">
        <v>2447938.8995804396</v>
      </c>
      <c r="AC659" s="64">
        <v>1490138.3398477801</v>
      </c>
      <c r="AD659" s="64">
        <v>1344414.3471276001</v>
      </c>
      <c r="AE659" s="64">
        <v>490934.10601116001</v>
      </c>
      <c r="AF659" s="64"/>
      <c r="AG659" s="64">
        <v>205256.04442223997</v>
      </c>
      <c r="AH659" s="64">
        <v>0</v>
      </c>
      <c r="AI659" s="64">
        <v>0</v>
      </c>
      <c r="AJ659" s="64">
        <v>0</v>
      </c>
      <c r="AK659" s="64">
        <v>15105792.339437097</v>
      </c>
      <c r="AL659" s="64">
        <v>0</v>
      </c>
      <c r="AM659" s="64">
        <v>2953956.3437999999</v>
      </c>
      <c r="AN659" s="65">
        <v>246262.91500000001</v>
      </c>
      <c r="AO659" s="66">
        <v>496783.28516168008</v>
      </c>
      <c r="AP659" s="128">
        <f>+N659-'Приложение №2'!E668</f>
        <v>0</v>
      </c>
      <c r="AQ659" s="127">
        <f>1676857.07-R133</f>
        <v>1676857.07</v>
      </c>
      <c r="AR659" s="25">
        <f>+(K659*13.95+L659*23.65)*12*0.85</f>
        <v>317852.96100000001</v>
      </c>
      <c r="AS659" s="25">
        <f>+(K659*13.95+L659*23.65)*12*30-S133</f>
        <v>9400959.3434900604</v>
      </c>
      <c r="AT659" s="127">
        <f t="shared" si="394"/>
        <v>0</v>
      </c>
      <c r="AU659" s="127">
        <f>+P659-'[6]Приложение №1'!$P621</f>
        <v>0</v>
      </c>
      <c r="AV659" s="127">
        <f>+Q659-'[6]Приложение №1'!$Q621</f>
        <v>0</v>
      </c>
      <c r="AW659" s="88">
        <f t="shared" si="412"/>
        <v>20288255.938115433</v>
      </c>
      <c r="AX659" s="64"/>
      <c r="AY659" s="64"/>
      <c r="AZ659" s="64"/>
      <c r="BA659" s="64"/>
      <c r="BB659" s="64"/>
      <c r="BC659" s="64"/>
      <c r="BD659" s="64"/>
      <c r="BE659" s="64">
        <v>0</v>
      </c>
      <c r="BF659" s="64">
        <v>0</v>
      </c>
      <c r="BG659" s="64">
        <v>0</v>
      </c>
      <c r="BH659" s="64">
        <v>19819142.883416064</v>
      </c>
      <c r="BI659" s="64">
        <v>0</v>
      </c>
      <c r="BJ659" s="64"/>
      <c r="BK659" s="65"/>
      <c r="BL659" s="66">
        <v>469113.05469936703</v>
      </c>
    </row>
    <row r="660" spans="1:64" x14ac:dyDescent="0.25">
      <c r="A660" s="141">
        <f t="shared" si="399"/>
        <v>641</v>
      </c>
      <c r="B660" s="142">
        <f t="shared" si="400"/>
        <v>183</v>
      </c>
      <c r="C660" s="62" t="s">
        <v>52</v>
      </c>
      <c r="D660" s="62" t="s">
        <v>769</v>
      </c>
      <c r="E660" s="123">
        <v>1995</v>
      </c>
      <c r="F660" s="123">
        <v>2013</v>
      </c>
      <c r="G660" s="123" t="s">
        <v>43</v>
      </c>
      <c r="H660" s="123">
        <v>4</v>
      </c>
      <c r="I660" s="123">
        <v>3</v>
      </c>
      <c r="J660" s="64">
        <v>1839</v>
      </c>
      <c r="K660" s="64">
        <v>1773.6</v>
      </c>
      <c r="L660" s="64">
        <v>0</v>
      </c>
      <c r="M660" s="124">
        <v>81</v>
      </c>
      <c r="N660" s="63">
        <f t="shared" si="442"/>
        <v>11942305.43697691</v>
      </c>
      <c r="O660" s="64"/>
      <c r="P660" s="65">
        <v>590238.2375000004</v>
      </c>
      <c r="Q660" s="65"/>
      <c r="R660" s="65">
        <f t="shared" si="443"/>
        <v>1091904.8700000001</v>
      </c>
      <c r="S660" s="65">
        <f>+AS660</f>
        <v>6704207.9999999991</v>
      </c>
      <c r="T660" s="65">
        <f>+'Приложение №2'!E669-'Приложение №1'!P660-'Приложение №1'!R660-'Приложение №1'!S660</f>
        <v>3555954.3294769088</v>
      </c>
      <c r="U660" s="65">
        <f t="shared" si="390"/>
        <v>6733.3702283361017</v>
      </c>
      <c r="V660" s="65">
        <v>1342.2830200640001</v>
      </c>
      <c r="W660" s="126">
        <v>2024</v>
      </c>
      <c r="X660" s="127" t="e">
        <f>+#REF!-'[1]Приложение №1'!$P726</f>
        <v>#REF!</v>
      </c>
      <c r="Z660" s="63">
        <f t="shared" si="441"/>
        <v>23166447.680000003</v>
      </c>
      <c r="AA660" s="64">
        <v>4256960.5015337411</v>
      </c>
      <c r="AB660" s="64">
        <v>1516930.0345470598</v>
      </c>
      <c r="AC660" s="64">
        <v>1584854.3608997399</v>
      </c>
      <c r="AD660" s="64">
        <v>992219.03665164008</v>
      </c>
      <c r="AE660" s="64">
        <v>0</v>
      </c>
      <c r="AF660" s="64"/>
      <c r="AG660" s="64">
        <v>163351.22964971996</v>
      </c>
      <c r="AH660" s="64">
        <v>0</v>
      </c>
      <c r="AI660" s="64">
        <v>7782371.5100418003</v>
      </c>
      <c r="AJ660" s="64">
        <v>0</v>
      </c>
      <c r="AK660" s="64">
        <v>4040643.3169443598</v>
      </c>
      <c r="AL660" s="64">
        <v>0</v>
      </c>
      <c r="AM660" s="64">
        <v>2152716.9961000001</v>
      </c>
      <c r="AN660" s="65">
        <v>231664.4768</v>
      </c>
      <c r="AO660" s="66">
        <v>444736.21683194005</v>
      </c>
      <c r="AP660" s="128">
        <f>+N660-'Приложение №2'!E669</f>
        <v>0</v>
      </c>
      <c r="AQ660" s="38">
        <v>901952.31</v>
      </c>
      <c r="AR660" s="25">
        <f t="shared" ref="AR660:AR712" si="453">+(K660*10.5+L660*21)*12*0.85</f>
        <v>189952.55999999997</v>
      </c>
      <c r="AS660" s="25">
        <f>+(K660*10.5+L660*21)*12*30</f>
        <v>6704207.9999999991</v>
      </c>
      <c r="AT660" s="127">
        <f t="shared" si="394"/>
        <v>0</v>
      </c>
      <c r="AU660" s="127">
        <f>+P660-'[6]Приложение №1'!$P622</f>
        <v>0</v>
      </c>
      <c r="AV660" s="127">
        <f>+Q660-'[6]Приложение №1'!$Q622</f>
        <v>0</v>
      </c>
      <c r="AW660" s="88">
        <f t="shared" si="412"/>
        <v>11942305.436976908</v>
      </c>
      <c r="AX660" s="64">
        <v>5297559.1729573756</v>
      </c>
      <c r="AY660" s="64">
        <v>2147559.4265640476</v>
      </c>
      <c r="AZ660" s="64">
        <v>2251281.7566385437</v>
      </c>
      <c r="BA660" s="64">
        <v>1797107.10810288</v>
      </c>
      <c r="BB660" s="64">
        <v>0</v>
      </c>
      <c r="BC660" s="64"/>
      <c r="BD660" s="64">
        <v>193232.63636275491</v>
      </c>
      <c r="BE660" s="64">
        <v>0</v>
      </c>
      <c r="BF660" s="64"/>
      <c r="BG660" s="64"/>
      <c r="BH660" s="64"/>
      <c r="BI660" s="64">
        <v>0</v>
      </c>
      <c r="BJ660" s="64"/>
      <c r="BK660" s="65"/>
      <c r="BL660" s="66">
        <v>255565.33635130583</v>
      </c>
    </row>
    <row r="661" spans="1:64" x14ac:dyDescent="0.25">
      <c r="A661" s="141">
        <f t="shared" si="399"/>
        <v>642</v>
      </c>
      <c r="B661" s="142">
        <f t="shared" si="400"/>
        <v>184</v>
      </c>
      <c r="C661" s="62" t="s">
        <v>1187</v>
      </c>
      <c r="D661" s="23" t="s">
        <v>977</v>
      </c>
      <c r="E661" s="29" t="s">
        <v>113</v>
      </c>
      <c r="G661" s="123" t="s">
        <v>48</v>
      </c>
      <c r="H661" s="29" t="s">
        <v>98</v>
      </c>
      <c r="I661" s="29" t="s">
        <v>101</v>
      </c>
      <c r="J661" s="23">
        <v>1202.5</v>
      </c>
      <c r="K661" s="23">
        <v>1106.0999999999999</v>
      </c>
      <c r="L661" s="23">
        <v>0</v>
      </c>
      <c r="M661" s="23">
        <v>32</v>
      </c>
      <c r="N661" s="63">
        <f t="shared" ref="N661:N663" si="454">SUM(O661:T661)</f>
        <v>13247749.999935677</v>
      </c>
      <c r="P661" s="65"/>
      <c r="Q661" s="127">
        <v>1000000</v>
      </c>
      <c r="R661" s="127">
        <f t="shared" ref="R661:R663" si="455">+AQ661+AR661</f>
        <v>401074.18119999999</v>
      </c>
      <c r="S661" s="127">
        <f t="shared" ref="S661:S663" si="456">+AS661</f>
        <v>1393685.9999999998</v>
      </c>
      <c r="T661" s="65">
        <v>10452989.818735678</v>
      </c>
      <c r="U661" s="65">
        <f t="shared" ref="U661:V663" si="457">$N661/($K661+$L661)</f>
        <v>11976.991230391175</v>
      </c>
      <c r="V661" s="65">
        <f t="shared" si="457"/>
        <v>11976.991230391175</v>
      </c>
      <c r="W661" s="126">
        <v>2024</v>
      </c>
      <c r="X661" s="127"/>
      <c r="Z661" s="63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  <c r="AN661" s="65"/>
      <c r="AO661" s="66"/>
      <c r="AP661" s="128">
        <f>+N661-'Приложение №2'!E670</f>
        <v>0</v>
      </c>
      <c r="AQ661" s="23">
        <v>316908.82</v>
      </c>
      <c r="AR661" s="25">
        <v>84165.361199999985</v>
      </c>
      <c r="AS661" s="25">
        <v>1393685.9999999998</v>
      </c>
      <c r="AT661" s="127"/>
      <c r="AU661" s="127"/>
      <c r="AV661" s="127"/>
      <c r="AW661" s="88">
        <f t="shared" si="412"/>
        <v>13247749.999935677</v>
      </c>
      <c r="BF661" s="64">
        <v>4736947.1480659954</v>
      </c>
      <c r="BH661" s="64">
        <v>8083838.6084949747</v>
      </c>
      <c r="BJ661" s="64"/>
      <c r="BK661" s="65">
        <v>146599.62535876004</v>
      </c>
      <c r="BL661" s="66">
        <v>280364.61801594601</v>
      </c>
    </row>
    <row r="662" spans="1:64" x14ac:dyDescent="0.25">
      <c r="A662" s="141">
        <f t="shared" si="399"/>
        <v>643</v>
      </c>
      <c r="B662" s="142">
        <f t="shared" si="400"/>
        <v>185</v>
      </c>
      <c r="C662" s="62" t="s">
        <v>1187</v>
      </c>
      <c r="D662" s="23" t="s">
        <v>978</v>
      </c>
      <c r="E662" s="29" t="s">
        <v>139</v>
      </c>
      <c r="G662" s="123" t="s">
        <v>48</v>
      </c>
      <c r="H662" s="29" t="s">
        <v>98</v>
      </c>
      <c r="I662" s="29" t="s">
        <v>105</v>
      </c>
      <c r="J662" s="23">
        <v>1154.8</v>
      </c>
      <c r="K662" s="23">
        <v>1069.2</v>
      </c>
      <c r="L662" s="23">
        <v>0</v>
      </c>
      <c r="M662" s="23">
        <v>52</v>
      </c>
      <c r="N662" s="63">
        <f t="shared" si="454"/>
        <v>12805799.023534242</v>
      </c>
      <c r="P662" s="65"/>
      <c r="Q662" s="127">
        <v>1000000</v>
      </c>
      <c r="R662" s="127">
        <f t="shared" si="455"/>
        <v>449276.69640000002</v>
      </c>
      <c r="S662" s="127">
        <f t="shared" si="456"/>
        <v>1347192</v>
      </c>
      <c r="T662" s="65">
        <v>10009330.327134242</v>
      </c>
      <c r="U662" s="65">
        <f t="shared" si="457"/>
        <v>11976.991230391171</v>
      </c>
      <c r="V662" s="65">
        <f t="shared" si="457"/>
        <v>11976.991230391171</v>
      </c>
      <c r="W662" s="126">
        <v>2024</v>
      </c>
      <c r="X662" s="127"/>
      <c r="Z662" s="63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  <c r="AN662" s="65"/>
      <c r="AO662" s="66"/>
      <c r="AP662" s="128">
        <f>+N662-'Приложение №2'!E671</f>
        <v>0</v>
      </c>
      <c r="AQ662" s="23">
        <v>367919.13</v>
      </c>
      <c r="AR662" s="25">
        <v>81357.566399999996</v>
      </c>
      <c r="AS662" s="25">
        <v>1347192</v>
      </c>
      <c r="AT662" s="127"/>
      <c r="AU662" s="127"/>
      <c r="AV662" s="127"/>
      <c r="AW662" s="88">
        <f t="shared" si="412"/>
        <v>12805799.023534242</v>
      </c>
      <c r="BF662" s="64">
        <v>4578920.4327928424</v>
      </c>
      <c r="BH662" s="64">
        <v>7814158.0690740691</v>
      </c>
      <c r="BJ662" s="64"/>
      <c r="BK662" s="65">
        <v>141708.99505793891</v>
      </c>
      <c r="BL662" s="66">
        <v>271011.52660939295</v>
      </c>
    </row>
    <row r="663" spans="1:64" x14ac:dyDescent="0.25">
      <c r="A663" s="141">
        <f t="shared" si="399"/>
        <v>644</v>
      </c>
      <c r="B663" s="142">
        <f t="shared" si="400"/>
        <v>186</v>
      </c>
      <c r="C663" s="62" t="s">
        <v>1187</v>
      </c>
      <c r="D663" s="23" t="s">
        <v>976</v>
      </c>
      <c r="E663" s="29" t="s">
        <v>112</v>
      </c>
      <c r="G663" s="123" t="s">
        <v>48</v>
      </c>
      <c r="H663" s="29" t="s">
        <v>98</v>
      </c>
      <c r="I663" s="29" t="s">
        <v>101</v>
      </c>
      <c r="J663" s="23">
        <v>1147.5</v>
      </c>
      <c r="K663" s="23">
        <v>1147.5</v>
      </c>
      <c r="L663" s="23">
        <v>0</v>
      </c>
      <c r="M663" s="23">
        <v>39</v>
      </c>
      <c r="N663" s="63">
        <f t="shared" si="454"/>
        <v>13743597.436873876</v>
      </c>
      <c r="P663" s="65"/>
      <c r="Q663" s="127">
        <v>1000000</v>
      </c>
      <c r="R663" s="127">
        <f t="shared" si="455"/>
        <v>404299.24</v>
      </c>
      <c r="S663" s="127">
        <f t="shared" si="456"/>
        <v>1445850</v>
      </c>
      <c r="T663" s="65">
        <v>10893448.196873875</v>
      </c>
      <c r="U663" s="65">
        <f t="shared" si="457"/>
        <v>11976.991230391177</v>
      </c>
      <c r="V663" s="65">
        <f t="shared" si="457"/>
        <v>11976.991230391177</v>
      </c>
      <c r="W663" s="126">
        <v>2024</v>
      </c>
      <c r="X663" s="127"/>
      <c r="Z663" s="63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  <c r="AN663" s="65"/>
      <c r="AO663" s="66"/>
      <c r="AP663" s="128">
        <f>+N663-'Приложение №2'!E672</f>
        <v>0</v>
      </c>
      <c r="AQ663" s="23">
        <v>316983.67</v>
      </c>
      <c r="AR663" s="25">
        <v>87315.57</v>
      </c>
      <c r="AS663" s="25">
        <v>1445850</v>
      </c>
      <c r="AT663" s="127"/>
      <c r="AU663" s="127"/>
      <c r="AV663" s="127"/>
      <c r="AW663" s="88">
        <f t="shared" si="412"/>
        <v>13743597.436873876</v>
      </c>
      <c r="BF663" s="64">
        <v>4914245.4139822163</v>
      </c>
      <c r="BH663" s="64">
        <v>8386407.0185769713</v>
      </c>
      <c r="BJ663" s="64"/>
      <c r="BK663" s="65">
        <v>152086.67398894962</v>
      </c>
      <c r="BL663" s="66">
        <v>290858.33032573742</v>
      </c>
    </row>
    <row r="664" spans="1:64" x14ac:dyDescent="0.25">
      <c r="A664" s="141">
        <f t="shared" si="399"/>
        <v>645</v>
      </c>
      <c r="B664" s="142">
        <f t="shared" si="400"/>
        <v>187</v>
      </c>
      <c r="C664" s="62" t="s">
        <v>53</v>
      </c>
      <c r="D664" s="62" t="s">
        <v>792</v>
      </c>
      <c r="E664" s="123">
        <v>1964</v>
      </c>
      <c r="F664" s="123">
        <v>1964</v>
      </c>
      <c r="G664" s="123" t="s">
        <v>43</v>
      </c>
      <c r="H664" s="123">
        <v>2</v>
      </c>
      <c r="I664" s="123">
        <v>2</v>
      </c>
      <c r="J664" s="64">
        <v>660.09</v>
      </c>
      <c r="K664" s="64">
        <v>608.58000000000004</v>
      </c>
      <c r="L664" s="64">
        <v>0</v>
      </c>
      <c r="M664" s="124">
        <v>32</v>
      </c>
      <c r="N664" s="63">
        <f t="shared" si="442"/>
        <v>620383.78927532339</v>
      </c>
      <c r="O664" s="64"/>
      <c r="P664" s="65"/>
      <c r="Q664" s="65"/>
      <c r="R664" s="65">
        <f t="shared" ref="R664:R672" si="458">+AQ664+AR664</f>
        <v>444434.76799999998</v>
      </c>
      <c r="S664" s="65">
        <f>+'Приложение №2'!E673-'Приложение №1'!R664</f>
        <v>175949.02127532341</v>
      </c>
      <c r="T664" s="65">
        <v>0</v>
      </c>
      <c r="U664" s="65">
        <f t="shared" si="390"/>
        <v>1019.3956246924371</v>
      </c>
      <c r="V664" s="65">
        <v>1345.2830200640001</v>
      </c>
      <c r="W664" s="126">
        <v>2024</v>
      </c>
      <c r="X664" s="127" t="e">
        <f>+#REF!-'[1]Приложение №1'!$P738</f>
        <v>#REF!</v>
      </c>
      <c r="Z664" s="63">
        <f t="shared" si="441"/>
        <v>4551398.5399999991</v>
      </c>
      <c r="AA664" s="64">
        <v>1783504.6065618601</v>
      </c>
      <c r="AB664" s="64">
        <v>1085237.2512912001</v>
      </c>
      <c r="AC664" s="64">
        <v>511364.19748848001</v>
      </c>
      <c r="AD664" s="64">
        <v>435798.11897832004</v>
      </c>
      <c r="AE664" s="64">
        <v>0</v>
      </c>
      <c r="AF664" s="64"/>
      <c r="AG664" s="64">
        <v>189558.68370852002</v>
      </c>
      <c r="AH664" s="64">
        <v>0</v>
      </c>
      <c r="AI664" s="64">
        <v>0</v>
      </c>
      <c r="AJ664" s="64">
        <v>0</v>
      </c>
      <c r="AK664" s="64">
        <v>0</v>
      </c>
      <c r="AL664" s="64">
        <v>0</v>
      </c>
      <c r="AM664" s="64">
        <v>412830.33630000002</v>
      </c>
      <c r="AN664" s="65">
        <v>45513.985399999998</v>
      </c>
      <c r="AO664" s="66">
        <v>87591.360271620011</v>
      </c>
      <c r="AP664" s="128">
        <f>+N664-'Приложение №2'!E673</f>
        <v>0</v>
      </c>
      <c r="AQ664" s="38">
        <v>379255.85</v>
      </c>
      <c r="AR664" s="25">
        <f t="shared" si="453"/>
        <v>65178.917999999998</v>
      </c>
      <c r="AS664" s="25">
        <f>+(K664*10.5+L664*21)*12*30</f>
        <v>2300432.4</v>
      </c>
      <c r="AT664" s="127">
        <f t="shared" si="394"/>
        <v>-2124483.3787246766</v>
      </c>
      <c r="AU664" s="127">
        <f>+P664-'[6]Приложение №1'!$P625</f>
        <v>0</v>
      </c>
      <c r="AV664" s="127">
        <f>+Q664-'[6]Приложение №1'!$Q625</f>
        <v>0</v>
      </c>
      <c r="AW664" s="88">
        <f t="shared" si="412"/>
        <v>620383.78927532339</v>
      </c>
      <c r="AX664" s="64"/>
      <c r="AY664" s="64"/>
      <c r="AZ664" s="64">
        <v>607107.57618483144</v>
      </c>
      <c r="BA664" s="64"/>
      <c r="BB664" s="64"/>
      <c r="BC664" s="64"/>
      <c r="BD664" s="64"/>
      <c r="BE664" s="64">
        <v>0</v>
      </c>
      <c r="BF664" s="64">
        <v>0</v>
      </c>
      <c r="BG664" s="64">
        <v>0</v>
      </c>
      <c r="BH664" s="64">
        <v>0</v>
      </c>
      <c r="BI664" s="64">
        <v>0</v>
      </c>
      <c r="BJ664" s="64"/>
      <c r="BK664" s="65"/>
      <c r="BL664" s="66">
        <v>13276.213090491921</v>
      </c>
    </row>
    <row r="665" spans="1:64" x14ac:dyDescent="0.25">
      <c r="A665" s="141">
        <f t="shared" si="399"/>
        <v>646</v>
      </c>
      <c r="B665" s="142">
        <f t="shared" si="400"/>
        <v>188</v>
      </c>
      <c r="C665" s="62" t="s">
        <v>64</v>
      </c>
      <c r="D665" s="62" t="s">
        <v>781</v>
      </c>
      <c r="E665" s="123">
        <v>1981</v>
      </c>
      <c r="F665" s="123">
        <v>2010</v>
      </c>
      <c r="G665" s="123" t="s">
        <v>43</v>
      </c>
      <c r="H665" s="123">
        <v>2</v>
      </c>
      <c r="I665" s="123">
        <v>2</v>
      </c>
      <c r="J665" s="64">
        <v>774.6</v>
      </c>
      <c r="K665" s="64">
        <v>714.53</v>
      </c>
      <c r="L665" s="64">
        <v>0</v>
      </c>
      <c r="M665" s="124">
        <v>28</v>
      </c>
      <c r="N665" s="63">
        <f t="shared" si="442"/>
        <v>4159569.7264373754</v>
      </c>
      <c r="O665" s="64"/>
      <c r="P665" s="65">
        <v>503219.86890000058</v>
      </c>
      <c r="Q665" s="65"/>
      <c r="R665" s="65">
        <f t="shared" si="458"/>
        <v>544907.83299999998</v>
      </c>
      <c r="S665" s="65">
        <f>+AS665</f>
        <v>2700923.4</v>
      </c>
      <c r="T665" s="65">
        <f>+'Приложение №2'!E674-'Приложение №1'!P665-'Приложение №1'!R665-'Приложение №1'!S665</f>
        <v>410518.62453737482</v>
      </c>
      <c r="U665" s="65">
        <f t="shared" si="390"/>
        <v>5821.4066959223201</v>
      </c>
      <c r="V665" s="65">
        <v>1346.2830200640001</v>
      </c>
      <c r="W665" s="126">
        <v>2024</v>
      </c>
      <c r="X665" s="127" t="e">
        <f>+#REF!-'[1]Приложение №1'!$P741</f>
        <v>#REF!</v>
      </c>
      <c r="Z665" s="63">
        <f t="shared" si="441"/>
        <v>3874188.8000000003</v>
      </c>
      <c r="AA665" s="64">
        <v>2090429.3526916802</v>
      </c>
      <c r="AB665" s="64">
        <v>0</v>
      </c>
      <c r="AC665" s="64">
        <v>599365.27642445988</v>
      </c>
      <c r="AD665" s="64">
        <v>510794.96876771998</v>
      </c>
      <c r="AE665" s="64">
        <v>0</v>
      </c>
      <c r="AF665" s="64"/>
      <c r="AG665" s="64">
        <v>222179.99235767999</v>
      </c>
      <c r="AH665" s="64">
        <v>0</v>
      </c>
      <c r="AI665" s="64">
        <v>0</v>
      </c>
      <c r="AJ665" s="64">
        <v>0</v>
      </c>
      <c r="AK665" s="64">
        <v>0</v>
      </c>
      <c r="AL665" s="64">
        <v>0</v>
      </c>
      <c r="AM665" s="64">
        <v>337828.28310000006</v>
      </c>
      <c r="AN665" s="65">
        <v>38741.887999999999</v>
      </c>
      <c r="AO665" s="66">
        <v>74849.038658460006</v>
      </c>
      <c r="AP665" s="128">
        <f>+N665-'Приложение №2'!E674</f>
        <v>0</v>
      </c>
      <c r="AQ665" s="38">
        <v>468381.67</v>
      </c>
      <c r="AR665" s="25">
        <f t="shared" si="453"/>
        <v>76526.163</v>
      </c>
      <c r="AS665" s="25">
        <f>+(K665*10.5+L665*21)*12*30</f>
        <v>2700923.4</v>
      </c>
      <c r="AT665" s="127">
        <f t="shared" si="394"/>
        <v>0</v>
      </c>
      <c r="AU665" s="127">
        <f>+P665-'[6]Приложение №1'!$P626</f>
        <v>0</v>
      </c>
      <c r="AV665" s="127">
        <f>+Q665-'[6]Приложение №1'!$Q626</f>
        <v>0</v>
      </c>
      <c r="AW665" s="88">
        <f t="shared" si="412"/>
        <v>4159569.7264373754</v>
      </c>
      <c r="AX665" s="64">
        <v>2486057.1210043277</v>
      </c>
      <c r="AY665" s="64">
        <v>0</v>
      </c>
      <c r="AZ665" s="64">
        <v>712801.23633926117</v>
      </c>
      <c r="BA665" s="64">
        <v>607467.74786197429</v>
      </c>
      <c r="BB665" s="64">
        <v>0</v>
      </c>
      <c r="BC665" s="64"/>
      <c r="BD665" s="64">
        <v>264228.82908605208</v>
      </c>
      <c r="BE665" s="64">
        <v>0</v>
      </c>
      <c r="BF665" s="64">
        <v>0</v>
      </c>
      <c r="BG665" s="64">
        <v>0</v>
      </c>
      <c r="BH665" s="64">
        <v>0</v>
      </c>
      <c r="BI665" s="64">
        <v>0</v>
      </c>
      <c r="BJ665" s="64"/>
      <c r="BK665" s="65"/>
      <c r="BL665" s="66">
        <v>89014.792145759842</v>
      </c>
    </row>
    <row r="666" spans="1:64" x14ac:dyDescent="0.25">
      <c r="A666" s="141">
        <f t="shared" si="399"/>
        <v>647</v>
      </c>
      <c r="B666" s="142">
        <f t="shared" si="400"/>
        <v>189</v>
      </c>
      <c r="C666" s="62" t="s">
        <v>64</v>
      </c>
      <c r="D666" s="62" t="s">
        <v>777</v>
      </c>
      <c r="E666" s="123">
        <v>1983</v>
      </c>
      <c r="F666" s="123">
        <v>1983</v>
      </c>
      <c r="G666" s="123" t="s">
        <v>43</v>
      </c>
      <c r="H666" s="123">
        <v>2</v>
      </c>
      <c r="I666" s="123">
        <v>2</v>
      </c>
      <c r="J666" s="64">
        <v>910.77</v>
      </c>
      <c r="K666" s="64">
        <v>841.26</v>
      </c>
      <c r="L666" s="64">
        <v>0</v>
      </c>
      <c r="M666" s="124">
        <v>34</v>
      </c>
      <c r="N666" s="63">
        <f t="shared" si="442"/>
        <v>857576.76322875964</v>
      </c>
      <c r="O666" s="64"/>
      <c r="P666" s="65">
        <v>299229.82999999996</v>
      </c>
      <c r="Q666" s="65"/>
      <c r="R666" s="65">
        <f t="shared" si="458"/>
        <v>187044.886</v>
      </c>
      <c r="S666" s="65">
        <f>+'Приложение №2'!E675-'Приложение №1'!P666-R666</f>
        <v>371302.04722875968</v>
      </c>
      <c r="T666" s="65">
        <f>+'Приложение №2'!E675-'Приложение №1'!P666-'Приложение №1'!Q666-'Приложение №1'!R666-'Приложение №1'!S666</f>
        <v>0</v>
      </c>
      <c r="U666" s="65">
        <f t="shared" si="390"/>
        <v>1019.3956246924371</v>
      </c>
      <c r="V666" s="65">
        <v>1347.2830200640001</v>
      </c>
      <c r="W666" s="126">
        <v>2024</v>
      </c>
      <c r="X666" s="127" t="e">
        <f>+#REF!-'[1]Приложение №1'!$P1219</f>
        <v>#REF!</v>
      </c>
      <c r="Z666" s="63">
        <f t="shared" si="441"/>
        <v>6295969.4100000001</v>
      </c>
      <c r="AA666" s="64">
        <v>2467129.6784152202</v>
      </c>
      <c r="AB666" s="64">
        <v>1501213.4170404002</v>
      </c>
      <c r="AC666" s="64">
        <v>707372.31680261996</v>
      </c>
      <c r="AD666" s="64">
        <v>602841.43419444002</v>
      </c>
      <c r="AE666" s="64">
        <v>0</v>
      </c>
      <c r="AF666" s="64"/>
      <c r="AG666" s="64">
        <v>262217.35903776006</v>
      </c>
      <c r="AH666" s="64">
        <v>0</v>
      </c>
      <c r="AI666" s="64">
        <v>0</v>
      </c>
      <c r="AJ666" s="64">
        <v>0</v>
      </c>
      <c r="AK666" s="64">
        <v>0</v>
      </c>
      <c r="AL666" s="64">
        <v>0</v>
      </c>
      <c r="AM666" s="64">
        <v>571070.00050000008</v>
      </c>
      <c r="AN666" s="65">
        <v>62959.694100000001</v>
      </c>
      <c r="AO666" s="66">
        <v>121165.50990956002</v>
      </c>
      <c r="AP666" s="128">
        <f>+N666-'Приложение №2'!E675</f>
        <v>0</v>
      </c>
      <c r="AQ666" s="127">
        <f>490264.08-R139</f>
        <v>96945.94</v>
      </c>
      <c r="AR666" s="25">
        <f t="shared" si="453"/>
        <v>90098.945999999996</v>
      </c>
      <c r="AS666" s="25">
        <f>+(K666*10.5+L666*21)*12*30-S139</f>
        <v>2595283.5981529797</v>
      </c>
      <c r="AT666" s="127">
        <f t="shared" si="394"/>
        <v>-2223981.5509242201</v>
      </c>
      <c r="AU666" s="127">
        <f>+P666-'[6]Приложение №1'!$P627</f>
        <v>0</v>
      </c>
      <c r="AV666" s="127">
        <f>+Q666-'[6]Приложение №1'!$Q627</f>
        <v>0</v>
      </c>
      <c r="AW666" s="88">
        <f t="shared" si="412"/>
        <v>857576.76322875964</v>
      </c>
      <c r="AX666" s="64"/>
      <c r="AY666" s="64"/>
      <c r="AZ666" s="64">
        <v>839224.62049566419</v>
      </c>
      <c r="BA666" s="64"/>
      <c r="BB666" s="64">
        <v>0</v>
      </c>
      <c r="BC666" s="64"/>
      <c r="BD666" s="64"/>
      <c r="BE666" s="64">
        <v>0</v>
      </c>
      <c r="BF666" s="64">
        <v>0</v>
      </c>
      <c r="BG666" s="64">
        <v>0</v>
      </c>
      <c r="BH666" s="64">
        <v>0</v>
      </c>
      <c r="BI666" s="64">
        <v>0</v>
      </c>
      <c r="BJ666" s="64"/>
      <c r="BK666" s="65"/>
      <c r="BL666" s="66">
        <v>18352.142733095458</v>
      </c>
    </row>
    <row r="667" spans="1:64" x14ac:dyDescent="0.25">
      <c r="A667" s="141">
        <f t="shared" si="399"/>
        <v>648</v>
      </c>
      <c r="B667" s="142">
        <f t="shared" si="400"/>
        <v>190</v>
      </c>
      <c r="C667" s="62" t="s">
        <v>54</v>
      </c>
      <c r="D667" s="62" t="s">
        <v>793</v>
      </c>
      <c r="E667" s="123">
        <v>1984</v>
      </c>
      <c r="F667" s="123">
        <v>1984</v>
      </c>
      <c r="G667" s="123" t="s">
        <v>43</v>
      </c>
      <c r="H667" s="123">
        <v>2</v>
      </c>
      <c r="I667" s="123">
        <v>2</v>
      </c>
      <c r="J667" s="64">
        <v>638.79999999999995</v>
      </c>
      <c r="K667" s="64">
        <v>591.79999999999995</v>
      </c>
      <c r="L667" s="64">
        <v>0</v>
      </c>
      <c r="M667" s="124">
        <v>27</v>
      </c>
      <c r="N667" s="63">
        <f t="shared" si="442"/>
        <v>4725406.3033073302</v>
      </c>
      <c r="O667" s="64"/>
      <c r="P667" s="65">
        <v>508425.41750000021</v>
      </c>
      <c r="Q667" s="65"/>
      <c r="R667" s="65">
        <f t="shared" si="458"/>
        <v>325253</v>
      </c>
      <c r="S667" s="65">
        <f>+AS667</f>
        <v>2237003.9999999995</v>
      </c>
      <c r="T667" s="65">
        <f>+'Приложение №2'!E676-'Приложение №1'!P667-'Приложение №1'!R667-'Приложение №1'!S667</f>
        <v>1654723.8858073303</v>
      </c>
      <c r="U667" s="65">
        <f t="shared" si="390"/>
        <v>7984.8028105902849</v>
      </c>
      <c r="V667" s="65">
        <v>1348.2830200640001</v>
      </c>
      <c r="W667" s="126">
        <v>2024</v>
      </c>
      <c r="X667" s="127" t="e">
        <f>+#REF!-'[1]Приложение №1'!$P743</f>
        <v>#REF!</v>
      </c>
      <c r="Z667" s="63">
        <f t="shared" si="441"/>
        <v>4418355.1300000008</v>
      </c>
      <c r="AA667" s="64">
        <v>1731370.4004597</v>
      </c>
      <c r="AB667" s="64">
        <v>1053514.3282679403</v>
      </c>
      <c r="AC667" s="64">
        <v>496416.34494900005</v>
      </c>
      <c r="AD667" s="64">
        <v>423059.16646896006</v>
      </c>
      <c r="AE667" s="64">
        <v>0</v>
      </c>
      <c r="AF667" s="64"/>
      <c r="AG667" s="64">
        <v>184017.63091067999</v>
      </c>
      <c r="AH667" s="64">
        <v>0</v>
      </c>
      <c r="AI667" s="64">
        <v>0</v>
      </c>
      <c r="AJ667" s="64">
        <v>0</v>
      </c>
      <c r="AK667" s="64">
        <v>0</v>
      </c>
      <c r="AL667" s="64">
        <v>0</v>
      </c>
      <c r="AM667" s="64">
        <v>400762.75890000002</v>
      </c>
      <c r="AN667" s="65">
        <v>44183.551299999999</v>
      </c>
      <c r="AO667" s="66">
        <v>85030.948743720015</v>
      </c>
      <c r="AP667" s="128">
        <f>+N667-'Приложение №2'!E676</f>
        <v>0</v>
      </c>
      <c r="AQ667" s="38">
        <v>261871.22</v>
      </c>
      <c r="AR667" s="25">
        <f t="shared" si="453"/>
        <v>63381.779999999992</v>
      </c>
      <c r="AS667" s="25">
        <f>+(K667*10.5+L667*21)*12*30</f>
        <v>2237003.9999999995</v>
      </c>
      <c r="AT667" s="127">
        <f t="shared" si="394"/>
        <v>0</v>
      </c>
      <c r="AU667" s="127">
        <f>+P667-'[6]Приложение №1'!$P628</f>
        <v>0</v>
      </c>
      <c r="AV667" s="127">
        <f>+Q667-'[6]Приложение №1'!$Q628</f>
        <v>0</v>
      </c>
      <c r="AW667" s="88">
        <f t="shared" si="412"/>
        <v>4725406.3033073302</v>
      </c>
      <c r="AX667" s="64">
        <v>2059043.8528968147</v>
      </c>
      <c r="AY667" s="64">
        <v>1252899.447298368</v>
      </c>
      <c r="AZ667" s="64">
        <v>590368.17441615427</v>
      </c>
      <c r="BA667" s="64">
        <v>503127.10898732929</v>
      </c>
      <c r="BB667" s="64">
        <v>0</v>
      </c>
      <c r="BC667" s="64"/>
      <c r="BD667" s="64">
        <v>218844.02481788813</v>
      </c>
      <c r="BE667" s="64">
        <v>0</v>
      </c>
      <c r="BF667" s="64">
        <v>0</v>
      </c>
      <c r="BG667" s="64">
        <v>0</v>
      </c>
      <c r="BH667" s="64">
        <v>0</v>
      </c>
      <c r="BI667" s="64">
        <v>0</v>
      </c>
      <c r="BJ667" s="64"/>
      <c r="BK667" s="65"/>
      <c r="BL667" s="66">
        <v>101123.6948907769</v>
      </c>
    </row>
    <row r="668" spans="1:64" x14ac:dyDescent="0.25">
      <c r="A668" s="141">
        <f t="shared" si="399"/>
        <v>649</v>
      </c>
      <c r="B668" s="142">
        <f t="shared" si="400"/>
        <v>191</v>
      </c>
      <c r="C668" s="62" t="s">
        <v>55</v>
      </c>
      <c r="D668" s="62" t="s">
        <v>202</v>
      </c>
      <c r="E668" s="123">
        <v>1961</v>
      </c>
      <c r="F668" s="123">
        <v>2009</v>
      </c>
      <c r="G668" s="123" t="s">
        <v>43</v>
      </c>
      <c r="H668" s="123">
        <v>2</v>
      </c>
      <c r="I668" s="123">
        <v>2</v>
      </c>
      <c r="J668" s="64">
        <v>1068.6199999999999</v>
      </c>
      <c r="K668" s="64">
        <v>637.97</v>
      </c>
      <c r="L668" s="64">
        <v>254.2</v>
      </c>
      <c r="M668" s="124">
        <v>27</v>
      </c>
      <c r="N668" s="63">
        <f t="shared" si="442"/>
        <v>749159.68211579998</v>
      </c>
      <c r="O668" s="64"/>
      <c r="P668" s="65"/>
      <c r="Q668" s="65"/>
      <c r="R668" s="65">
        <f t="shared" si="458"/>
        <v>161022.217</v>
      </c>
      <c r="S668" s="65">
        <f>+'Приложение №2'!E677-'Приложение №1'!R668</f>
        <v>588137.46511580003</v>
      </c>
      <c r="T668" s="65">
        <v>0</v>
      </c>
      <c r="U668" s="65">
        <f t="shared" si="390"/>
        <v>1174.2866939131934</v>
      </c>
      <c r="V668" s="65">
        <v>1349.2830200640001</v>
      </c>
      <c r="W668" s="126">
        <v>2024</v>
      </c>
      <c r="X668" s="127" t="e">
        <f>+#REF!-'[1]Приложение №1'!$P744</f>
        <v>#REF!</v>
      </c>
      <c r="Z668" s="63">
        <f t="shared" si="441"/>
        <v>614213.77</v>
      </c>
      <c r="AA668" s="64">
        <v>0</v>
      </c>
      <c r="AB668" s="64">
        <v>0</v>
      </c>
      <c r="AC668" s="64">
        <v>534951.93983658007</v>
      </c>
      <c r="AD668" s="64">
        <v>0</v>
      </c>
      <c r="AE668" s="64">
        <v>0</v>
      </c>
      <c r="AF668" s="64"/>
      <c r="AG668" s="64">
        <v>0</v>
      </c>
      <c r="AH668" s="64">
        <v>0</v>
      </c>
      <c r="AI668" s="64">
        <v>0</v>
      </c>
      <c r="AJ668" s="64">
        <v>0</v>
      </c>
      <c r="AK668" s="64">
        <v>0</v>
      </c>
      <c r="AL668" s="64">
        <v>0</v>
      </c>
      <c r="AM668" s="64">
        <v>61421.377000000008</v>
      </c>
      <c r="AN668" s="65">
        <v>6142.1377000000002</v>
      </c>
      <c r="AO668" s="66">
        <v>11698.315463420002</v>
      </c>
      <c r="AP668" s="128">
        <f>+N668-'Приложение №2'!E677</f>
        <v>0</v>
      </c>
      <c r="AQ668" s="23">
        <f>326698.29-288452.3</f>
        <v>38245.989999999991</v>
      </c>
      <c r="AR668" s="25">
        <f t="shared" si="453"/>
        <v>122776.227</v>
      </c>
      <c r="AS668" s="25">
        <f>+(K668*10.5+L668*21)*12*30-886844.04</f>
        <v>3446434.5599999996</v>
      </c>
      <c r="AT668" s="127">
        <f t="shared" si="394"/>
        <v>-2858297.0948841996</v>
      </c>
      <c r="AU668" s="127">
        <f>+P668-'[6]Приложение №1'!$P629</f>
        <v>0</v>
      </c>
      <c r="AV668" s="127">
        <f>+Q668-'[6]Приложение №1'!$Q629</f>
        <v>0</v>
      </c>
      <c r="AW668" s="88">
        <f t="shared" si="412"/>
        <v>749159.6821158001</v>
      </c>
      <c r="AX668" s="64">
        <v>0</v>
      </c>
      <c r="AY668" s="64">
        <v>0</v>
      </c>
      <c r="AZ668" s="64">
        <v>733127.664918522</v>
      </c>
      <c r="BA668" s="64">
        <v>0</v>
      </c>
      <c r="BB668" s="64">
        <v>0</v>
      </c>
      <c r="BC668" s="64"/>
      <c r="BD668" s="64"/>
      <c r="BE668" s="64">
        <v>0</v>
      </c>
      <c r="BF668" s="64">
        <v>0</v>
      </c>
      <c r="BG668" s="64">
        <v>0</v>
      </c>
      <c r="BH668" s="64">
        <v>0</v>
      </c>
      <c r="BI668" s="64">
        <v>0</v>
      </c>
      <c r="BJ668" s="64"/>
      <c r="BK668" s="65"/>
      <c r="BL668" s="66">
        <v>16032.017197278123</v>
      </c>
    </row>
    <row r="669" spans="1:64" x14ac:dyDescent="0.25">
      <c r="A669" s="141">
        <f t="shared" si="399"/>
        <v>650</v>
      </c>
      <c r="B669" s="142">
        <f t="shared" si="400"/>
        <v>192</v>
      </c>
      <c r="C669" s="62" t="s">
        <v>55</v>
      </c>
      <c r="D669" s="62" t="s">
        <v>203</v>
      </c>
      <c r="E669" s="123">
        <v>1964</v>
      </c>
      <c r="F669" s="123">
        <v>2009</v>
      </c>
      <c r="G669" s="123" t="s">
        <v>43</v>
      </c>
      <c r="H669" s="123">
        <v>2</v>
      </c>
      <c r="I669" s="123">
        <v>2</v>
      </c>
      <c r="J669" s="64">
        <v>814.22</v>
      </c>
      <c r="K669" s="64">
        <v>596</v>
      </c>
      <c r="L669" s="64">
        <v>218.22</v>
      </c>
      <c r="M669" s="124">
        <v>18</v>
      </c>
      <c r="N669" s="63">
        <f t="shared" si="442"/>
        <v>683704.67105184752</v>
      </c>
      <c r="O669" s="64"/>
      <c r="P669" s="65"/>
      <c r="Q669" s="65"/>
      <c r="R669" s="65">
        <f t="shared" si="458"/>
        <v>174798.85399999996</v>
      </c>
      <c r="S669" s="65">
        <f>+'Приложение №2'!E678-'Приложение №1'!R669</f>
        <v>508905.81705184758</v>
      </c>
      <c r="T669" s="65">
        <v>0</v>
      </c>
      <c r="U669" s="65">
        <f t="shared" si="390"/>
        <v>1147.155488342026</v>
      </c>
      <c r="V669" s="65">
        <v>1350.2830200640001</v>
      </c>
      <c r="W669" s="126">
        <v>2024</v>
      </c>
      <c r="X669" s="127" t="e">
        <f>+#REF!-'[1]Приложение №1'!$P745</f>
        <v>#REF!</v>
      </c>
      <c r="Z669" s="63">
        <f t="shared" si="441"/>
        <v>574052.08000000007</v>
      </c>
      <c r="AA669" s="64">
        <v>0</v>
      </c>
      <c r="AB669" s="64">
        <v>0</v>
      </c>
      <c r="AC669" s="64">
        <v>499972.95528431999</v>
      </c>
      <c r="AD669" s="64">
        <v>0</v>
      </c>
      <c r="AE669" s="64">
        <v>0</v>
      </c>
      <c r="AF669" s="64"/>
      <c r="AG669" s="64">
        <v>0</v>
      </c>
      <c r="AH669" s="64">
        <v>0</v>
      </c>
      <c r="AI669" s="64">
        <v>0</v>
      </c>
      <c r="AJ669" s="64">
        <v>0</v>
      </c>
      <c r="AK669" s="64">
        <v>0</v>
      </c>
      <c r="AL669" s="64">
        <v>0</v>
      </c>
      <c r="AM669" s="64">
        <v>57405.207999999999</v>
      </c>
      <c r="AN669" s="65">
        <v>5740.5207999999993</v>
      </c>
      <c r="AO669" s="66">
        <v>10933.395915679999</v>
      </c>
      <c r="AP669" s="128">
        <f>+N669-'Приложение №2'!E678</f>
        <v>0</v>
      </c>
      <c r="AQ669" s="23">
        <f>341501.29-277276.76</f>
        <v>64224.52999999997</v>
      </c>
      <c r="AR669" s="25">
        <f t="shared" si="453"/>
        <v>110574.32399999999</v>
      </c>
      <c r="AS669" s="25">
        <f>+(K669*10.5+L669*21)*12*30-756724.06</f>
        <v>3145899.1399999997</v>
      </c>
      <c r="AT669" s="127">
        <f t="shared" si="394"/>
        <v>-2636993.3229481522</v>
      </c>
      <c r="AU669" s="127">
        <f>+P669-'[6]Приложение №1'!$P630</f>
        <v>0</v>
      </c>
      <c r="AV669" s="127">
        <f>+Q669-'[6]Приложение №1'!$Q630</f>
        <v>0</v>
      </c>
      <c r="AW669" s="88">
        <f t="shared" si="412"/>
        <v>683704.67105184752</v>
      </c>
      <c r="AX669" s="64">
        <v>0</v>
      </c>
      <c r="AY669" s="64">
        <v>0</v>
      </c>
      <c r="AZ669" s="64">
        <v>669073.39109133801</v>
      </c>
      <c r="BA669" s="64">
        <v>0</v>
      </c>
      <c r="BB669" s="64">
        <v>0</v>
      </c>
      <c r="BC669" s="64"/>
      <c r="BD669" s="64"/>
      <c r="BE669" s="64">
        <v>0</v>
      </c>
      <c r="BF669" s="64">
        <v>0</v>
      </c>
      <c r="BG669" s="64">
        <v>0</v>
      </c>
      <c r="BH669" s="64">
        <v>0</v>
      </c>
      <c r="BI669" s="64">
        <v>0</v>
      </c>
      <c r="BJ669" s="64"/>
      <c r="BK669" s="65"/>
      <c r="BL669" s="66">
        <v>14631.279960509539</v>
      </c>
    </row>
    <row r="670" spans="1:64" x14ac:dyDescent="0.25">
      <c r="A670" s="141">
        <f t="shared" si="399"/>
        <v>651</v>
      </c>
      <c r="B670" s="142">
        <f t="shared" si="400"/>
        <v>193</v>
      </c>
      <c r="C670" s="62" t="s">
        <v>55</v>
      </c>
      <c r="D670" s="62" t="s">
        <v>370</v>
      </c>
      <c r="E670" s="123">
        <v>1984</v>
      </c>
      <c r="F670" s="123">
        <v>2009</v>
      </c>
      <c r="G670" s="123" t="s">
        <v>43</v>
      </c>
      <c r="H670" s="123">
        <v>2</v>
      </c>
      <c r="I670" s="123">
        <v>2</v>
      </c>
      <c r="J670" s="64">
        <v>1164.7</v>
      </c>
      <c r="K670" s="64">
        <v>745.9</v>
      </c>
      <c r="L670" s="64">
        <v>304.10000000000002</v>
      </c>
      <c r="M670" s="124">
        <v>37</v>
      </c>
      <c r="N670" s="95">
        <f t="shared" ref="N670" si="459">+P670+Q670+R670+S670+T670</f>
        <v>7087536.49513104</v>
      </c>
      <c r="O670" s="64"/>
      <c r="P670" s="65">
        <v>2329938.9142360003</v>
      </c>
      <c r="Q670" s="65"/>
      <c r="R670" s="65">
        <f>+AR670</f>
        <v>138118.19999999998</v>
      </c>
      <c r="S670" s="65">
        <f>+AS670</f>
        <v>1030496.0861339998</v>
      </c>
      <c r="T670" s="65">
        <f>+'Приложение №2'!E679-'Приложение №1'!P670-'Приложение №1'!Q670-'Приложение №1'!R670-'Приложение №1'!S670</f>
        <v>3588983.2947610402</v>
      </c>
      <c r="U670" s="64">
        <f t="shared" ref="U670:V670" si="460">$N670/($K670+$L670)</f>
        <v>6750.0347572676574</v>
      </c>
      <c r="V670" s="64">
        <f t="shared" si="460"/>
        <v>6750.0347572676574</v>
      </c>
      <c r="W670" s="126">
        <v>2024</v>
      </c>
      <c r="X670" s="127" t="e">
        <f>+#REF!-'[1]Приложение №1'!$P1863</f>
        <v>#REF!</v>
      </c>
      <c r="Z670" s="63">
        <f t="shared" si="441"/>
        <v>12533218.82</v>
      </c>
      <c r="AA670" s="64">
        <v>2147390.7974610003</v>
      </c>
      <c r="AB670" s="64">
        <v>1306656.8383722</v>
      </c>
      <c r="AC670" s="64">
        <v>615697.18809396005</v>
      </c>
      <c r="AD670" s="64">
        <v>524713.46015088004</v>
      </c>
      <c r="AE670" s="64">
        <v>0</v>
      </c>
      <c r="AF670" s="64"/>
      <c r="AG670" s="64">
        <v>228234.10595495999</v>
      </c>
      <c r="AH670" s="64">
        <v>0</v>
      </c>
      <c r="AI670" s="64">
        <v>6212039.0494932001</v>
      </c>
      <c r="AJ670" s="64">
        <v>0</v>
      </c>
      <c r="AK670" s="64">
        <v>0</v>
      </c>
      <c r="AL670" s="64">
        <v>0</v>
      </c>
      <c r="AM670" s="64">
        <v>1131847.9648</v>
      </c>
      <c r="AN670" s="65">
        <v>125332.1882</v>
      </c>
      <c r="AO670" s="66">
        <v>241307.22747379998</v>
      </c>
      <c r="AP670" s="128">
        <f>+N670-'Приложение №2'!E679</f>
        <v>0</v>
      </c>
      <c r="AQ670" s="127">
        <f>397731.31-R386</f>
        <v>-138118.20000000001</v>
      </c>
      <c r="AR670" s="25">
        <f t="shared" ref="AR670" si="461">+(K670*10+L670*20)*12*0.85</f>
        <v>138118.19999999998</v>
      </c>
      <c r="AS670" s="25">
        <f>+(K670*10+L670*20)*12*30-S386</f>
        <v>1030496.0861339998</v>
      </c>
      <c r="AT670" s="127">
        <f t="shared" si="394"/>
        <v>0</v>
      </c>
      <c r="AU670" s="127">
        <f>+P670-'[6]Приложение №1'!$P680</f>
        <v>1297293.9292345003</v>
      </c>
      <c r="AV670" s="127">
        <f>+Q670-'[6]Приложение №1'!$Q680</f>
        <v>0</v>
      </c>
      <c r="AW670" s="63">
        <f t="shared" si="412"/>
        <v>7087536.49513104</v>
      </c>
      <c r="AX670" s="64"/>
      <c r="AY670" s="64"/>
      <c r="AZ670" s="64"/>
      <c r="BA670" s="64"/>
      <c r="BB670" s="64">
        <v>0</v>
      </c>
      <c r="BC670" s="64"/>
      <c r="BD670" s="64"/>
      <c r="BE670" s="64">
        <v>0</v>
      </c>
      <c r="BF670" s="64">
        <v>6850480.8288420001</v>
      </c>
      <c r="BG670" s="64">
        <v>0</v>
      </c>
      <c r="BH670" s="64">
        <v>0</v>
      </c>
      <c r="BI670" s="64">
        <v>0</v>
      </c>
      <c r="BJ670" s="64"/>
      <c r="BK670" s="65"/>
      <c r="BL670" s="66">
        <v>237055.66628903997</v>
      </c>
    </row>
    <row r="671" spans="1:64" x14ac:dyDescent="0.25">
      <c r="A671" s="141">
        <f t="shared" si="399"/>
        <v>652</v>
      </c>
      <c r="B671" s="142">
        <f t="shared" si="400"/>
        <v>194</v>
      </c>
      <c r="C671" s="62" t="s">
        <v>55</v>
      </c>
      <c r="D671" s="62" t="s">
        <v>789</v>
      </c>
      <c r="E671" s="123">
        <v>1969</v>
      </c>
      <c r="F671" s="123">
        <v>1969</v>
      </c>
      <c r="G671" s="123" t="s">
        <v>43</v>
      </c>
      <c r="H671" s="123">
        <v>2</v>
      </c>
      <c r="I671" s="123">
        <v>2</v>
      </c>
      <c r="J671" s="64">
        <v>842.59</v>
      </c>
      <c r="K671" s="64">
        <v>626.4</v>
      </c>
      <c r="L671" s="64">
        <v>216.19</v>
      </c>
      <c r="M671" s="124">
        <v>29</v>
      </c>
      <c r="N671" s="63">
        <f t="shared" si="442"/>
        <v>707527.10419981834</v>
      </c>
      <c r="O671" s="64"/>
      <c r="P671" s="65"/>
      <c r="Q671" s="65"/>
      <c r="R671" s="65">
        <f t="shared" si="458"/>
        <v>195852.43799999997</v>
      </c>
      <c r="S671" s="65">
        <f>+'Приложение №2'!E680-'Приложение №1'!R671</f>
        <v>511674.66619981837</v>
      </c>
      <c r="T671" s="65">
        <v>0</v>
      </c>
      <c r="U671" s="65">
        <f t="shared" ref="U671:U775" si="462">N671/K671</f>
        <v>1129.5132570239757</v>
      </c>
      <c r="V671" s="65">
        <v>1351.2830200640001</v>
      </c>
      <c r="W671" s="126">
        <v>2024</v>
      </c>
      <c r="X671" s="127">
        <f>+S671-'[1]Приложение №1'!$P749</f>
        <v>-91617.433800181607</v>
      </c>
      <c r="Z671" s="63">
        <f t="shared" si="441"/>
        <v>603292.1</v>
      </c>
      <c r="AA671" s="64">
        <v>0</v>
      </c>
      <c r="AB671" s="64">
        <v>0</v>
      </c>
      <c r="AC671" s="64">
        <v>525439.66766340006</v>
      </c>
      <c r="AD671" s="64">
        <v>0</v>
      </c>
      <c r="AE671" s="64">
        <v>0</v>
      </c>
      <c r="AF671" s="64"/>
      <c r="AG671" s="64">
        <v>0</v>
      </c>
      <c r="AH671" s="64">
        <v>0</v>
      </c>
      <c r="AI671" s="64">
        <v>0</v>
      </c>
      <c r="AJ671" s="64">
        <v>0</v>
      </c>
      <c r="AK671" s="64">
        <v>0</v>
      </c>
      <c r="AL671" s="64">
        <v>0</v>
      </c>
      <c r="AM671" s="64">
        <v>60329.21</v>
      </c>
      <c r="AN671" s="65">
        <v>6032.9210000000003</v>
      </c>
      <c r="AO671" s="66">
        <v>11490.301336600001</v>
      </c>
      <c r="AP671" s="128">
        <f>+N671-'Приложение №2'!E680</f>
        <v>0</v>
      </c>
      <c r="AQ671" s="23">
        <f>379343.67-296886.57</f>
        <v>82457.099999999977</v>
      </c>
      <c r="AR671" s="25">
        <f t="shared" si="453"/>
        <v>113395.33799999997</v>
      </c>
      <c r="AS671" s="25">
        <f>+(K671*10.5+L671*21)*12*30-514905.43</f>
        <v>3487282.9699999988</v>
      </c>
      <c r="AT671" s="127">
        <f t="shared" si="394"/>
        <v>-2975608.3038001806</v>
      </c>
      <c r="AU671" s="127">
        <f>+P671-'[6]Приложение №1'!$P631</f>
        <v>0</v>
      </c>
      <c r="AV671" s="127">
        <f>+Q671-'[6]Приложение №1'!$Q631</f>
        <v>0</v>
      </c>
      <c r="AW671" s="88">
        <f t="shared" si="412"/>
        <v>707527.10419981834</v>
      </c>
      <c r="AX671" s="64">
        <v>0</v>
      </c>
      <c r="AY671" s="64">
        <v>0</v>
      </c>
      <c r="AZ671" s="64">
        <v>692386.02416994225</v>
      </c>
      <c r="BA671" s="64">
        <v>0</v>
      </c>
      <c r="BB671" s="64">
        <v>0</v>
      </c>
      <c r="BC671" s="64"/>
      <c r="BD671" s="64"/>
      <c r="BE671" s="64">
        <v>0</v>
      </c>
      <c r="BF671" s="64">
        <v>0</v>
      </c>
      <c r="BG671" s="64">
        <v>0</v>
      </c>
      <c r="BH671" s="64">
        <v>0</v>
      </c>
      <c r="BI671" s="64">
        <v>0</v>
      </c>
      <c r="BJ671" s="64"/>
      <c r="BK671" s="65"/>
      <c r="BL671" s="66">
        <v>15141.080029876113</v>
      </c>
    </row>
    <row r="672" spans="1:64" x14ac:dyDescent="0.25">
      <c r="A672" s="141">
        <f t="shared" ref="A672:A735" si="463">+A671+1</f>
        <v>653</v>
      </c>
      <c r="B672" s="142">
        <f t="shared" ref="B672:B735" si="464">+B671+1</f>
        <v>195</v>
      </c>
      <c r="C672" s="62" t="s">
        <v>55</v>
      </c>
      <c r="D672" s="62" t="s">
        <v>790</v>
      </c>
      <c r="E672" s="123">
        <v>1963</v>
      </c>
      <c r="F672" s="123">
        <v>2008</v>
      </c>
      <c r="G672" s="123" t="s">
        <v>43</v>
      </c>
      <c r="H672" s="123">
        <v>2</v>
      </c>
      <c r="I672" s="123">
        <v>2</v>
      </c>
      <c r="J672" s="64">
        <v>815.23</v>
      </c>
      <c r="K672" s="64">
        <v>621.87</v>
      </c>
      <c r="L672" s="64">
        <v>0</v>
      </c>
      <c r="M672" s="124">
        <v>50</v>
      </c>
      <c r="N672" s="63">
        <f t="shared" si="442"/>
        <v>2130214.1386997006</v>
      </c>
      <c r="O672" s="64"/>
      <c r="P672" s="65"/>
      <c r="Q672" s="65"/>
      <c r="R672" s="65">
        <f t="shared" si="458"/>
        <v>359794.97700000001</v>
      </c>
      <c r="S672" s="65">
        <f>+'Приложение №2'!E681-'Приложение №1'!R672</f>
        <v>1770419.1616997006</v>
      </c>
      <c r="T672" s="65">
        <v>0</v>
      </c>
      <c r="U672" s="65">
        <f t="shared" si="462"/>
        <v>3425.4975134669635</v>
      </c>
      <c r="V672" s="65">
        <v>1352.2830200640001</v>
      </c>
      <c r="W672" s="126">
        <v>2024</v>
      </c>
      <c r="X672" s="127" t="e">
        <f>+#REF!-'[1]Приложение №1'!$P750</f>
        <v>#REF!</v>
      </c>
      <c r="Z672" s="63">
        <f t="shared" si="441"/>
        <v>2343434.8514670716</v>
      </c>
      <c r="AA672" s="64">
        <v>0</v>
      </c>
      <c r="AB672" s="64">
        <v>0</v>
      </c>
      <c r="AC672" s="64">
        <v>468089.23673358001</v>
      </c>
      <c r="AD672" s="64">
        <v>0</v>
      </c>
      <c r="AE672" s="64">
        <v>0</v>
      </c>
      <c r="AF672" s="64"/>
      <c r="AG672" s="64">
        <v>0</v>
      </c>
      <c r="AH672" s="64">
        <v>0</v>
      </c>
      <c r="AI672" s="64">
        <v>0</v>
      </c>
      <c r="AJ672" s="64">
        <v>0</v>
      </c>
      <c r="AK672" s="64">
        <v>0</v>
      </c>
      <c r="AL672" s="64">
        <v>1572934.7208910722</v>
      </c>
      <c r="AM672" s="64">
        <v>234343.48514670721</v>
      </c>
      <c r="AN672" s="65">
        <v>23434.348514670721</v>
      </c>
      <c r="AO672" s="66">
        <v>44633.060181041852</v>
      </c>
      <c r="AP672" s="128">
        <f>+N672-'Приложение №2'!E681</f>
        <v>0</v>
      </c>
      <c r="AQ672" s="38">
        <v>293192.7</v>
      </c>
      <c r="AR672" s="25">
        <f t="shared" si="453"/>
        <v>66602.276999999987</v>
      </c>
      <c r="AS672" s="25">
        <f>+(K672*10.5+L672*21)*12*30</f>
        <v>2350668.5999999996</v>
      </c>
      <c r="AT672" s="127">
        <f t="shared" si="394"/>
        <v>-580249.43830029899</v>
      </c>
      <c r="AU672" s="127">
        <f>+P672-'[6]Приложение №1'!$P632</f>
        <v>0</v>
      </c>
      <c r="AV672" s="127">
        <f>+Q672-'[6]Приложение №1'!$Q632</f>
        <v>0</v>
      </c>
      <c r="AW672" s="88">
        <f t="shared" si="412"/>
        <v>2130214.1386997006</v>
      </c>
      <c r="AX672" s="64">
        <v>0</v>
      </c>
      <c r="AY672" s="64">
        <v>0</v>
      </c>
      <c r="AZ672" s="64"/>
      <c r="BA672" s="64">
        <v>0</v>
      </c>
      <c r="BB672" s="64">
        <v>0</v>
      </c>
      <c r="BC672" s="64"/>
      <c r="BD672" s="64"/>
      <c r="BE672" s="64">
        <v>0</v>
      </c>
      <c r="BF672" s="64">
        <v>0</v>
      </c>
      <c r="BG672" s="64">
        <v>0</v>
      </c>
      <c r="BH672" s="64">
        <v>0</v>
      </c>
      <c r="BI672" s="64">
        <v>2084627.5561315271</v>
      </c>
      <c r="BJ672" s="64"/>
      <c r="BK672" s="65"/>
      <c r="BL672" s="66">
        <v>45586.582568173595</v>
      </c>
    </row>
    <row r="673" spans="1:64" x14ac:dyDescent="0.25">
      <c r="A673" s="141">
        <f t="shared" si="463"/>
        <v>654</v>
      </c>
      <c r="B673" s="142">
        <f t="shared" si="464"/>
        <v>196</v>
      </c>
      <c r="C673" s="62" t="s">
        <v>55</v>
      </c>
      <c r="D673" s="62" t="s">
        <v>791</v>
      </c>
      <c r="E673" s="123">
        <v>1971</v>
      </c>
      <c r="F673" s="123">
        <v>2009</v>
      </c>
      <c r="G673" s="123" t="s">
        <v>43</v>
      </c>
      <c r="H673" s="123">
        <v>4</v>
      </c>
      <c r="I673" s="123">
        <v>4</v>
      </c>
      <c r="J673" s="64">
        <v>3316.04</v>
      </c>
      <c r="K673" s="64">
        <v>2384.75</v>
      </c>
      <c r="L673" s="64">
        <v>776.54</v>
      </c>
      <c r="M673" s="124">
        <v>114</v>
      </c>
      <c r="N673" s="63">
        <f t="shared" si="442"/>
        <v>3122988.6782967336</v>
      </c>
      <c r="O673" s="64"/>
      <c r="P673" s="65"/>
      <c r="Q673" s="65"/>
      <c r="R673" s="65">
        <f>+'Приложение №2'!E682</f>
        <v>3122988.6782967336</v>
      </c>
      <c r="S673" s="65">
        <f>+'Приложение №2'!E682-'Приложение №1'!R673</f>
        <v>0</v>
      </c>
      <c r="T673" s="65">
        <v>0</v>
      </c>
      <c r="U673" s="65">
        <f t="shared" si="462"/>
        <v>1309.5664863389175</v>
      </c>
      <c r="V673" s="65">
        <v>1353.2830200640001</v>
      </c>
      <c r="W673" s="126">
        <v>2024</v>
      </c>
      <c r="X673" s="127" t="e">
        <f>+#REF!-'[1]Приложение №1'!$P751</f>
        <v>#REF!</v>
      </c>
      <c r="Z673" s="63">
        <f t="shared" si="441"/>
        <v>1136772.4099999997</v>
      </c>
      <c r="AA673" s="64">
        <v>0</v>
      </c>
      <c r="AB673" s="64">
        <v>0</v>
      </c>
      <c r="AC673" s="64">
        <v>990076.47757913987</v>
      </c>
      <c r="AD673" s="64">
        <v>0</v>
      </c>
      <c r="AE673" s="64">
        <v>0</v>
      </c>
      <c r="AF673" s="64"/>
      <c r="AG673" s="64">
        <v>0</v>
      </c>
      <c r="AH673" s="64">
        <v>0</v>
      </c>
      <c r="AI673" s="64">
        <v>0</v>
      </c>
      <c r="AJ673" s="64">
        <v>0</v>
      </c>
      <c r="AK673" s="64">
        <v>0</v>
      </c>
      <c r="AL673" s="64">
        <v>0</v>
      </c>
      <c r="AM673" s="64">
        <v>113677.24099999999</v>
      </c>
      <c r="AN673" s="65">
        <v>11367.724099999999</v>
      </c>
      <c r="AO673" s="66">
        <v>21650.96732086</v>
      </c>
      <c r="AP673" s="128">
        <f>+N673-'Приложение №2'!E682</f>
        <v>0</v>
      </c>
      <c r="AQ673" s="38">
        <v>1345308.35</v>
      </c>
      <c r="AR673" s="25">
        <f t="shared" si="453"/>
        <v>421741.59299999994</v>
      </c>
      <c r="AS673" s="25">
        <f>+(K673*10.5+L673*21)*12*30</f>
        <v>14884997.399999999</v>
      </c>
      <c r="AT673" s="127">
        <f t="shared" ref="AT673:AT776" si="465">+S673-AS673</f>
        <v>-14884997.399999999</v>
      </c>
      <c r="AU673" s="127">
        <f>+P673-'[6]Приложение №1'!$P633</f>
        <v>0</v>
      </c>
      <c r="AV673" s="127">
        <f>+Q673-'[6]Приложение №1'!$Q633</f>
        <v>0</v>
      </c>
      <c r="AW673" s="88">
        <f t="shared" si="412"/>
        <v>3122988.6782967336</v>
      </c>
      <c r="AX673" s="64">
        <v>0</v>
      </c>
      <c r="AY673" s="64">
        <v>0</v>
      </c>
      <c r="AZ673" s="64">
        <v>3056156.7205811837</v>
      </c>
      <c r="BA673" s="64">
        <v>0</v>
      </c>
      <c r="BB673" s="64">
        <v>0</v>
      </c>
      <c r="BC673" s="64"/>
      <c r="BD673" s="64"/>
      <c r="BE673" s="64">
        <v>0</v>
      </c>
      <c r="BF673" s="64">
        <v>0</v>
      </c>
      <c r="BG673" s="64">
        <v>0</v>
      </c>
      <c r="BH673" s="64">
        <v>0</v>
      </c>
      <c r="BI673" s="64">
        <v>0</v>
      </c>
      <c r="BJ673" s="64"/>
      <c r="BK673" s="65"/>
      <c r="BL673" s="66">
        <v>66831.957715550103</v>
      </c>
    </row>
    <row r="674" spans="1:64" x14ac:dyDescent="0.25">
      <c r="A674" s="141">
        <f t="shared" si="463"/>
        <v>655</v>
      </c>
      <c r="B674" s="142">
        <f t="shared" si="464"/>
        <v>197</v>
      </c>
      <c r="C674" s="62" t="s">
        <v>55</v>
      </c>
      <c r="D674" s="62" t="s">
        <v>371</v>
      </c>
      <c r="E674" s="123">
        <v>1975</v>
      </c>
      <c r="F674" s="123">
        <v>2008</v>
      </c>
      <c r="G674" s="123" t="s">
        <v>43</v>
      </c>
      <c r="H674" s="123">
        <v>2</v>
      </c>
      <c r="I674" s="123">
        <v>2</v>
      </c>
      <c r="J674" s="64">
        <v>772.26</v>
      </c>
      <c r="K674" s="64">
        <v>695.29</v>
      </c>
      <c r="L674" s="64">
        <v>0</v>
      </c>
      <c r="M674" s="124">
        <v>34</v>
      </c>
      <c r="N674" s="63">
        <f t="shared" si="442"/>
        <v>5313726.6901692655</v>
      </c>
      <c r="O674" s="64"/>
      <c r="P674" s="65">
        <v>353690.84750000015</v>
      </c>
      <c r="Q674" s="65"/>
      <c r="R674" s="65">
        <f>+AQ674+AR674</f>
        <v>362643.929</v>
      </c>
      <c r="S674" s="65">
        <f>+AS674</f>
        <v>2628196.2000000002</v>
      </c>
      <c r="T674" s="65">
        <f>+'Приложение №2'!E683-'Приложение №1'!P674-'Приложение №1'!R674-'Приложение №1'!S674</f>
        <v>1969195.7136692656</v>
      </c>
      <c r="U674" s="65">
        <f t="shared" si="462"/>
        <v>7642.4609733625766</v>
      </c>
      <c r="V674" s="65">
        <v>1354.2830200640001</v>
      </c>
      <c r="W674" s="126">
        <v>2024</v>
      </c>
      <c r="X674" s="127" t="e">
        <f>+#REF!-'[1]Приложение №1'!$P759</f>
        <v>#REF!</v>
      </c>
      <c r="Z674" s="63">
        <f t="shared" si="441"/>
        <v>3527367.4699999997</v>
      </c>
      <c r="AA674" s="64">
        <v>1382229.2362897198</v>
      </c>
      <c r="AB674" s="64">
        <v>841066.88252748002</v>
      </c>
      <c r="AC674" s="64">
        <v>396311.02602629998</v>
      </c>
      <c r="AD674" s="64">
        <v>337746.75668411993</v>
      </c>
      <c r="AE674" s="64">
        <v>0</v>
      </c>
      <c r="AF674" s="64"/>
      <c r="AG674" s="64">
        <v>146909.38508988</v>
      </c>
      <c r="AH674" s="64">
        <v>0</v>
      </c>
      <c r="AI674" s="64">
        <v>0</v>
      </c>
      <c r="AJ674" s="64">
        <v>0</v>
      </c>
      <c r="AK674" s="64">
        <v>0</v>
      </c>
      <c r="AL674" s="64">
        <v>0</v>
      </c>
      <c r="AM674" s="64">
        <v>319946.55780000001</v>
      </c>
      <c r="AN674" s="65">
        <v>35273.674699999996</v>
      </c>
      <c r="AO674" s="66">
        <v>67883.950882499994</v>
      </c>
      <c r="AP674" s="128">
        <f>+N674-'Приложение №2'!E683</f>
        <v>0</v>
      </c>
      <c r="AQ674" s="38">
        <v>288178.37</v>
      </c>
      <c r="AR674" s="25">
        <f t="shared" si="453"/>
        <v>74465.559000000008</v>
      </c>
      <c r="AS674" s="25">
        <f>+(K674*10.5+L674*21)*12*30</f>
        <v>2628196.2000000002</v>
      </c>
      <c r="AT674" s="127">
        <f t="shared" si="465"/>
        <v>0</v>
      </c>
      <c r="AU674" s="127">
        <f>+P674-'[6]Приложение №1'!$P634</f>
        <v>0</v>
      </c>
      <c r="AV674" s="127">
        <f>+Q674-'[6]Приложение №1'!$Q634</f>
        <v>0</v>
      </c>
      <c r="AW674" s="88">
        <f t="shared" si="412"/>
        <v>5313726.6901692664</v>
      </c>
      <c r="AX674" s="64">
        <v>2358976.6817569626</v>
      </c>
      <c r="AY674" s="64">
        <v>1427054.7794963236</v>
      </c>
      <c r="AZ674" s="64">
        <v>571344.40088906721</v>
      </c>
      <c r="BA674" s="64">
        <v>585497.25201964681</v>
      </c>
      <c r="BB674" s="64">
        <v>0</v>
      </c>
      <c r="BC674" s="64"/>
      <c r="BD674" s="64">
        <v>257139.82483764473</v>
      </c>
      <c r="BE674" s="64">
        <v>0</v>
      </c>
      <c r="BF674" s="64">
        <v>0</v>
      </c>
      <c r="BG674" s="64">
        <v>0</v>
      </c>
      <c r="BH674" s="64">
        <v>0</v>
      </c>
      <c r="BI674" s="64">
        <v>0</v>
      </c>
      <c r="BJ674" s="64"/>
      <c r="BK674" s="65"/>
      <c r="BL674" s="66">
        <v>113713.75116962235</v>
      </c>
    </row>
    <row r="675" spans="1:64" x14ac:dyDescent="0.25">
      <c r="A675" s="141">
        <f t="shared" si="463"/>
        <v>656</v>
      </c>
      <c r="B675" s="142">
        <f t="shared" si="464"/>
        <v>198</v>
      </c>
      <c r="C675" s="62" t="s">
        <v>55</v>
      </c>
      <c r="D675" s="62" t="s">
        <v>207</v>
      </c>
      <c r="E675" s="123">
        <v>1962</v>
      </c>
      <c r="F675" s="123">
        <v>2003</v>
      </c>
      <c r="G675" s="123" t="s">
        <v>43</v>
      </c>
      <c r="H675" s="123">
        <v>2</v>
      </c>
      <c r="I675" s="123">
        <v>2</v>
      </c>
      <c r="J675" s="64">
        <v>1001.33</v>
      </c>
      <c r="K675" s="64">
        <v>596.02</v>
      </c>
      <c r="L675" s="64">
        <v>0</v>
      </c>
      <c r="M675" s="124">
        <v>24</v>
      </c>
      <c r="N675" s="63">
        <f t="shared" si="442"/>
        <v>500481.02237764001</v>
      </c>
      <c r="O675" s="64"/>
      <c r="P675" s="65"/>
      <c r="Q675" s="65"/>
      <c r="R675" s="65">
        <f>+AQ675+AR675</f>
        <v>157058.32199999999</v>
      </c>
      <c r="S675" s="65">
        <f>+'Приложение №2'!E684-'Приложение №1'!R675</f>
        <v>343422.70037764002</v>
      </c>
      <c r="T675" s="65">
        <v>0</v>
      </c>
      <c r="U675" s="65">
        <f t="shared" si="462"/>
        <v>839.7050810000336</v>
      </c>
      <c r="V675" s="65">
        <v>1355.2830200640001</v>
      </c>
      <c r="W675" s="126">
        <v>2024</v>
      </c>
      <c r="X675" s="127" t="e">
        <f>+#REF!-'[1]Приложение №1'!$P766</f>
        <v>#REF!</v>
      </c>
      <c r="Z675" s="63">
        <f t="shared" si="441"/>
        <v>613491.43999999994</v>
      </c>
      <c r="AA675" s="64">
        <v>0</v>
      </c>
      <c r="AB675" s="64">
        <v>0</v>
      </c>
      <c r="AC675" s="64">
        <v>534322.82363375998</v>
      </c>
      <c r="AD675" s="64">
        <v>0</v>
      </c>
      <c r="AE675" s="64">
        <v>0</v>
      </c>
      <c r="AF675" s="64"/>
      <c r="AG675" s="64">
        <v>0</v>
      </c>
      <c r="AH675" s="64">
        <v>0</v>
      </c>
      <c r="AI675" s="64">
        <v>0</v>
      </c>
      <c r="AJ675" s="64">
        <v>0</v>
      </c>
      <c r="AK675" s="64">
        <v>0</v>
      </c>
      <c r="AL675" s="64">
        <v>0</v>
      </c>
      <c r="AM675" s="64">
        <v>61349.144</v>
      </c>
      <c r="AN675" s="65">
        <v>6134.9143999999997</v>
      </c>
      <c r="AO675" s="66">
        <v>11684.55796624</v>
      </c>
      <c r="AP675" s="128">
        <f>+N675-'Приложение №2'!E684</f>
        <v>0</v>
      </c>
      <c r="AQ675" s="23">
        <f>316247.29-223022.71</f>
        <v>93224.579999999987</v>
      </c>
      <c r="AR675" s="25">
        <f t="shared" si="453"/>
        <v>63833.741999999998</v>
      </c>
      <c r="AS675" s="25">
        <f>+(K675*10.5+L675*21)*12*30-1056428.77</f>
        <v>1196526.83</v>
      </c>
      <c r="AT675" s="127">
        <f t="shared" si="465"/>
        <v>-853104.12962235999</v>
      </c>
      <c r="AU675" s="127">
        <f>+P675-'[6]Приложение №1'!$P635</f>
        <v>0</v>
      </c>
      <c r="AV675" s="127">
        <f>+Q675-'[6]Приложение №1'!$Q635</f>
        <v>0</v>
      </c>
      <c r="AW675" s="88">
        <f t="shared" si="412"/>
        <v>500481.02237764001</v>
      </c>
      <c r="AX675" s="64">
        <v>0</v>
      </c>
      <c r="AY675" s="64">
        <v>0</v>
      </c>
      <c r="AZ675" s="64">
        <v>489770.72849875852</v>
      </c>
      <c r="BA675" s="64">
        <v>0</v>
      </c>
      <c r="BB675" s="64">
        <v>0</v>
      </c>
      <c r="BC675" s="64"/>
      <c r="BD675" s="64"/>
      <c r="BE675" s="64">
        <v>0</v>
      </c>
      <c r="BF675" s="64">
        <v>0</v>
      </c>
      <c r="BG675" s="64">
        <v>0</v>
      </c>
      <c r="BH675" s="64">
        <v>0</v>
      </c>
      <c r="BI675" s="64">
        <v>0</v>
      </c>
      <c r="BJ675" s="64"/>
      <c r="BK675" s="65"/>
      <c r="BL675" s="66">
        <v>10710.293878881495</v>
      </c>
    </row>
    <row r="676" spans="1:64" x14ac:dyDescent="0.25">
      <c r="A676" s="141">
        <f t="shared" si="463"/>
        <v>657</v>
      </c>
      <c r="B676" s="142">
        <f t="shared" si="464"/>
        <v>199</v>
      </c>
      <c r="C676" s="62" t="s">
        <v>55</v>
      </c>
      <c r="D676" s="62" t="s">
        <v>208</v>
      </c>
      <c r="E676" s="123">
        <v>1962</v>
      </c>
      <c r="F676" s="123">
        <v>2004</v>
      </c>
      <c r="G676" s="123" t="s">
        <v>43</v>
      </c>
      <c r="H676" s="123">
        <v>2</v>
      </c>
      <c r="I676" s="123">
        <v>2</v>
      </c>
      <c r="J676" s="64">
        <v>1037.76</v>
      </c>
      <c r="K676" s="64">
        <v>623.46</v>
      </c>
      <c r="L676" s="64">
        <v>0</v>
      </c>
      <c r="M676" s="124">
        <v>19</v>
      </c>
      <c r="N676" s="63">
        <f t="shared" si="442"/>
        <v>523522.52980028105</v>
      </c>
      <c r="O676" s="64"/>
      <c r="P676" s="65"/>
      <c r="Q676" s="65"/>
      <c r="R676" s="65">
        <f>+AQ676+AR676</f>
        <v>153627.74599999998</v>
      </c>
      <c r="S676" s="65">
        <f>+'Приложение №2'!E685-'Приложение №1'!R676</f>
        <v>369894.78380028106</v>
      </c>
      <c r="T676" s="65">
        <v>0</v>
      </c>
      <c r="U676" s="65">
        <f t="shared" si="462"/>
        <v>839.70508100003372</v>
      </c>
      <c r="V676" s="65">
        <v>1356.2830200640001</v>
      </c>
      <c r="W676" s="126">
        <v>2024</v>
      </c>
      <c r="X676" s="127" t="e">
        <f>+#REF!-'[1]Приложение №1'!$P767</f>
        <v>#REF!</v>
      </c>
      <c r="Z676" s="63">
        <f t="shared" si="441"/>
        <v>597166.72</v>
      </c>
      <c r="AA676" s="64">
        <v>0</v>
      </c>
      <c r="AB676" s="64">
        <v>0</v>
      </c>
      <c r="AC676" s="64">
        <v>520104.74345087993</v>
      </c>
      <c r="AD676" s="64">
        <v>0</v>
      </c>
      <c r="AE676" s="64">
        <v>0</v>
      </c>
      <c r="AF676" s="64"/>
      <c r="AG676" s="64">
        <v>0</v>
      </c>
      <c r="AH676" s="64">
        <v>0</v>
      </c>
      <c r="AI676" s="64">
        <v>0</v>
      </c>
      <c r="AJ676" s="64">
        <v>0</v>
      </c>
      <c r="AK676" s="64">
        <v>0</v>
      </c>
      <c r="AL676" s="64">
        <v>0</v>
      </c>
      <c r="AM676" s="64">
        <v>59716.671999999999</v>
      </c>
      <c r="AN676" s="65">
        <v>5971.6671999999999</v>
      </c>
      <c r="AO676" s="66">
        <v>11373.637349119999</v>
      </c>
      <c r="AP676" s="128">
        <f>+N676-'Приложение №2'!E685</f>
        <v>0</v>
      </c>
      <c r="AQ676" s="23">
        <f>332016.62-245161.44</f>
        <v>86855.18</v>
      </c>
      <c r="AR676" s="25">
        <f t="shared" si="453"/>
        <v>66772.565999999992</v>
      </c>
      <c r="AS676" s="25">
        <f>+(K676*10.5+L676*21)*12*30-1022746.46</f>
        <v>1333932.3399999999</v>
      </c>
      <c r="AT676" s="127">
        <f t="shared" si="465"/>
        <v>-964037.55619971873</v>
      </c>
      <c r="AU676" s="127">
        <f>+P676-'[6]Приложение №1'!$P636</f>
        <v>0</v>
      </c>
      <c r="AV676" s="127">
        <f>+Q676-'[6]Приложение №1'!$Q636</f>
        <v>0</v>
      </c>
      <c r="AW676" s="88">
        <f t="shared" si="412"/>
        <v>523522.52980028105</v>
      </c>
      <c r="AX676" s="64">
        <v>0</v>
      </c>
      <c r="AY676" s="64">
        <v>0</v>
      </c>
      <c r="AZ676" s="64">
        <v>512319.14766255504</v>
      </c>
      <c r="BA676" s="64">
        <v>0</v>
      </c>
      <c r="BB676" s="64">
        <v>0</v>
      </c>
      <c r="BC676" s="64"/>
      <c r="BD676" s="64"/>
      <c r="BE676" s="64">
        <v>0</v>
      </c>
      <c r="BF676" s="64">
        <v>0</v>
      </c>
      <c r="BG676" s="64">
        <v>0</v>
      </c>
      <c r="BH676" s="64">
        <v>0</v>
      </c>
      <c r="BI676" s="64">
        <v>0</v>
      </c>
      <c r="BJ676" s="64"/>
      <c r="BK676" s="65"/>
      <c r="BL676" s="66">
        <v>11203.382137726014</v>
      </c>
    </row>
    <row r="677" spans="1:64" x14ac:dyDescent="0.25">
      <c r="A677" s="141">
        <f t="shared" si="463"/>
        <v>658</v>
      </c>
      <c r="B677" s="142">
        <f t="shared" si="464"/>
        <v>200</v>
      </c>
      <c r="C677" s="62" t="s">
        <v>55</v>
      </c>
      <c r="D677" s="62" t="s">
        <v>209</v>
      </c>
      <c r="E677" s="123">
        <v>1961</v>
      </c>
      <c r="F677" s="123">
        <v>2004</v>
      </c>
      <c r="G677" s="123" t="s">
        <v>43</v>
      </c>
      <c r="H677" s="123">
        <v>2</v>
      </c>
      <c r="I677" s="123">
        <v>2</v>
      </c>
      <c r="J677" s="64">
        <v>1023.9</v>
      </c>
      <c r="K677" s="64">
        <v>621.22</v>
      </c>
      <c r="L677" s="64">
        <v>0</v>
      </c>
      <c r="M677" s="124">
        <v>19</v>
      </c>
      <c r="N677" s="63">
        <f t="shared" si="442"/>
        <v>521641.59041884087</v>
      </c>
      <c r="O677" s="64"/>
      <c r="P677" s="65"/>
      <c r="Q677" s="65"/>
      <c r="R677" s="65">
        <f>+AQ677+AR677</f>
        <v>218338.99199999997</v>
      </c>
      <c r="S677" s="65">
        <f>+'Приложение №2'!E686-'Приложение №1'!R677</f>
        <v>303302.59841884091</v>
      </c>
      <c r="T677" s="65">
        <v>0</v>
      </c>
      <c r="U677" s="65">
        <f t="shared" si="462"/>
        <v>839.7050810000336</v>
      </c>
      <c r="V677" s="65">
        <v>1357.2830200640001</v>
      </c>
      <c r="W677" s="126">
        <v>2024</v>
      </c>
      <c r="X677" s="127">
        <f>+S677-'[1]Приложение №1'!$P768</f>
        <v>-288567.02158115909</v>
      </c>
      <c r="Z677" s="63">
        <f t="shared" si="441"/>
        <v>591869.62</v>
      </c>
      <c r="AA677" s="64">
        <v>0</v>
      </c>
      <c r="AB677" s="64">
        <v>0</v>
      </c>
      <c r="AC677" s="64">
        <v>515491.21301748004</v>
      </c>
      <c r="AD677" s="64">
        <v>0</v>
      </c>
      <c r="AE677" s="64">
        <v>0</v>
      </c>
      <c r="AF677" s="64"/>
      <c r="AG677" s="64">
        <v>0</v>
      </c>
      <c r="AH677" s="64">
        <v>0</v>
      </c>
      <c r="AI677" s="64">
        <v>0</v>
      </c>
      <c r="AJ677" s="64">
        <v>0</v>
      </c>
      <c r="AK677" s="64">
        <v>0</v>
      </c>
      <c r="AL677" s="64">
        <v>0</v>
      </c>
      <c r="AM677" s="64">
        <v>59186.962</v>
      </c>
      <c r="AN677" s="65">
        <v>5918.6962000000003</v>
      </c>
      <c r="AO677" s="66">
        <v>11272.748782520001</v>
      </c>
      <c r="AP677" s="128">
        <f>+N677-'Приложение №2'!E686</f>
        <v>0</v>
      </c>
      <c r="AQ677" s="23">
        <f>319451.74-167645.41</f>
        <v>151806.32999999999</v>
      </c>
      <c r="AR677" s="25">
        <f t="shared" si="453"/>
        <v>66532.661999999997</v>
      </c>
      <c r="AS677" s="25">
        <f>+(K677*10.5+L677*21)*12*30-1267907.77</f>
        <v>1080303.83</v>
      </c>
      <c r="AT677" s="127">
        <f t="shared" si="465"/>
        <v>-777001.23158115917</v>
      </c>
      <c r="AU677" s="127">
        <f>+P677-'[6]Приложение №1'!$P637</f>
        <v>0</v>
      </c>
      <c r="AV677" s="127">
        <f>+Q677-'[6]Приложение №1'!$Q637</f>
        <v>0</v>
      </c>
      <c r="AW677" s="88">
        <f t="shared" si="412"/>
        <v>521641.59041884087</v>
      </c>
      <c r="AX677" s="64">
        <v>0</v>
      </c>
      <c r="AY677" s="64">
        <v>0</v>
      </c>
      <c r="AZ677" s="64">
        <v>510478.46038387768</v>
      </c>
      <c r="BA677" s="64">
        <v>0</v>
      </c>
      <c r="BB677" s="64">
        <v>0</v>
      </c>
      <c r="BC677" s="64"/>
      <c r="BD677" s="64"/>
      <c r="BE677" s="64">
        <v>0</v>
      </c>
      <c r="BF677" s="64">
        <v>0</v>
      </c>
      <c r="BG677" s="64">
        <v>0</v>
      </c>
      <c r="BH677" s="64">
        <v>0</v>
      </c>
      <c r="BI677" s="64">
        <v>0</v>
      </c>
      <c r="BJ677" s="64"/>
      <c r="BK677" s="65"/>
      <c r="BL677" s="66">
        <v>11163.130034963195</v>
      </c>
    </row>
    <row r="678" spans="1:64" x14ac:dyDescent="0.25">
      <c r="A678" s="141">
        <f t="shared" si="463"/>
        <v>659</v>
      </c>
      <c r="B678" s="142">
        <f t="shared" si="464"/>
        <v>201</v>
      </c>
      <c r="C678" s="62" t="s">
        <v>54</v>
      </c>
      <c r="D678" s="62" t="s">
        <v>926</v>
      </c>
      <c r="E678" s="123">
        <v>1989</v>
      </c>
      <c r="F678" s="123">
        <v>1989</v>
      </c>
      <c r="G678" s="123" t="s">
        <v>43</v>
      </c>
      <c r="H678" s="123">
        <v>2</v>
      </c>
      <c r="I678" s="123">
        <v>2</v>
      </c>
      <c r="J678" s="64">
        <v>638.26</v>
      </c>
      <c r="K678" s="64">
        <v>562.19000000000005</v>
      </c>
      <c r="L678" s="64">
        <v>0</v>
      </c>
      <c r="M678" s="124">
        <v>25</v>
      </c>
      <c r="N678" s="63">
        <f t="shared" si="442"/>
        <v>2413255.6491013039</v>
      </c>
      <c r="O678" s="64"/>
      <c r="P678" s="65"/>
      <c r="Q678" s="65"/>
      <c r="R678" s="65">
        <f>+AQ678+AR678-24000</f>
        <v>377072.609</v>
      </c>
      <c r="S678" s="65">
        <f>+'Приложение №2'!E687-'Приложение №1'!R678</f>
        <v>2036183.040101304</v>
      </c>
      <c r="T678" s="65">
        <v>1.1641532182693481E-10</v>
      </c>
      <c r="U678" s="65">
        <f t="shared" si="462"/>
        <v>4292.5979635022031</v>
      </c>
      <c r="V678" s="65">
        <v>1358.2830200640001</v>
      </c>
      <c r="W678" s="126">
        <v>2024</v>
      </c>
      <c r="X678" s="127" t="e">
        <f>+#REF!-'[1]Приложение №1'!$P1123</f>
        <v>#REF!</v>
      </c>
      <c r="Z678" s="63">
        <f t="shared" si="441"/>
        <v>4469720.9400000004</v>
      </c>
      <c r="AA678" s="64">
        <v>1751498.5321852199</v>
      </c>
      <c r="AB678" s="64">
        <v>1065762.0143784601</v>
      </c>
      <c r="AC678" s="64">
        <v>502187.45163425995</v>
      </c>
      <c r="AD678" s="64">
        <v>427977.46190892003</v>
      </c>
      <c r="AE678" s="64">
        <v>0</v>
      </c>
      <c r="AF678" s="64"/>
      <c r="AG678" s="64">
        <v>186156.94426056001</v>
      </c>
      <c r="AH678" s="64">
        <v>0</v>
      </c>
      <c r="AI678" s="64">
        <v>0</v>
      </c>
      <c r="AJ678" s="64">
        <v>0</v>
      </c>
      <c r="AK678" s="64">
        <v>0</v>
      </c>
      <c r="AL678" s="64">
        <v>0</v>
      </c>
      <c r="AM678" s="64">
        <v>405421.84589999996</v>
      </c>
      <c r="AN678" s="65">
        <v>44697.209399999992</v>
      </c>
      <c r="AO678" s="66">
        <v>86019.480332579988</v>
      </c>
      <c r="AP678" s="128">
        <f>+N678-'Приложение №2'!E687</f>
        <v>0</v>
      </c>
      <c r="AQ678" s="38">
        <v>340862.06</v>
      </c>
      <c r="AR678" s="25">
        <f t="shared" si="453"/>
        <v>60210.548999999999</v>
      </c>
      <c r="AS678" s="25">
        <f>+(K678*10.5+L678*21)*12*30</f>
        <v>2125078.2000000002</v>
      </c>
      <c r="AT678" s="127">
        <f t="shared" si="465"/>
        <v>-88895.159898696234</v>
      </c>
      <c r="AU678" s="127">
        <f>+P678-'[6]Приложение №1'!$P638</f>
        <v>0</v>
      </c>
      <c r="AV678" s="127">
        <f>+Q678-'[6]Приложение №1'!$Q638</f>
        <v>0</v>
      </c>
      <c r="AW678" s="88">
        <f t="shared" si="412"/>
        <v>2413255.6491013039</v>
      </c>
      <c r="AX678" s="64">
        <v>1956022.0744509301</v>
      </c>
      <c r="AY678" s="64">
        <v>0</v>
      </c>
      <c r="AZ678" s="64">
        <v>0</v>
      </c>
      <c r="BA678" s="64">
        <v>0</v>
      </c>
      <c r="BB678" s="64">
        <v>0</v>
      </c>
      <c r="BC678" s="64"/>
      <c r="BD678" s="64">
        <v>207894.42769916952</v>
      </c>
      <c r="BE678" s="64">
        <v>0</v>
      </c>
      <c r="BF678" s="64">
        <v>0</v>
      </c>
      <c r="BG678" s="64">
        <v>0</v>
      </c>
      <c r="BH678" s="64">
        <v>0</v>
      </c>
      <c r="BI678" s="64">
        <v>0</v>
      </c>
      <c r="BJ678" s="64">
        <v>177886.11922984954</v>
      </c>
      <c r="BK678" s="65">
        <v>24132.556491013034</v>
      </c>
      <c r="BL678" s="66">
        <v>47320.471230341442</v>
      </c>
    </row>
    <row r="679" spans="1:64" x14ac:dyDescent="0.25">
      <c r="A679" s="141">
        <f t="shared" si="463"/>
        <v>660</v>
      </c>
      <c r="B679" s="142">
        <f t="shared" si="464"/>
        <v>202</v>
      </c>
      <c r="C679" s="62" t="s">
        <v>54</v>
      </c>
      <c r="D679" s="62" t="s">
        <v>1147</v>
      </c>
      <c r="E679" s="123">
        <v>1989</v>
      </c>
      <c r="F679" s="123">
        <v>1989</v>
      </c>
      <c r="G679" s="123" t="s">
        <v>43</v>
      </c>
      <c r="H679" s="123">
        <v>2</v>
      </c>
      <c r="I679" s="123">
        <v>1</v>
      </c>
      <c r="J679" s="64">
        <v>390.65</v>
      </c>
      <c r="K679" s="64">
        <v>349.25</v>
      </c>
      <c r="L679" s="64">
        <v>0</v>
      </c>
      <c r="M679" s="124">
        <v>1</v>
      </c>
      <c r="N679" s="63">
        <f t="shared" si="442"/>
        <v>3100973.0157528277</v>
      </c>
      <c r="O679" s="64"/>
      <c r="P679" s="65">
        <v>1280621.8600000008</v>
      </c>
      <c r="Q679" s="65"/>
      <c r="R679" s="65">
        <f>+AQ679+AR679-24000</f>
        <v>202682.36499999999</v>
      </c>
      <c r="S679" s="65">
        <f>+AS679</f>
        <v>1320165</v>
      </c>
      <c r="T679" s="65">
        <f>+'Приложение №2'!E688-'Приложение №1'!P679-'Приложение №1'!R679-'Приложение №1'!S679</f>
        <v>297503.79075282696</v>
      </c>
      <c r="U679" s="65">
        <f t="shared" si="462"/>
        <v>8878.9492219121767</v>
      </c>
      <c r="V679" s="65">
        <v>1359.2830200640001</v>
      </c>
      <c r="W679" s="126">
        <v>2024</v>
      </c>
      <c r="X679" s="127" t="e">
        <f>+#REF!-'[1]Приложение №1'!$P1124</f>
        <v>#REF!</v>
      </c>
      <c r="Z679" s="63">
        <f t="shared" si="441"/>
        <v>2736423.6599999997</v>
      </c>
      <c r="AA679" s="64">
        <v>1072291.1104705799</v>
      </c>
      <c r="AB679" s="64">
        <v>652473.92621670011</v>
      </c>
      <c r="AC679" s="64">
        <v>307445.96072232001</v>
      </c>
      <c r="AD679" s="64">
        <v>262013.59455431998</v>
      </c>
      <c r="AE679" s="64">
        <v>0</v>
      </c>
      <c r="AF679" s="64"/>
      <c r="AG679" s="64">
        <v>113967.79944983998</v>
      </c>
      <c r="AH679" s="64">
        <v>0</v>
      </c>
      <c r="AI679" s="64">
        <v>0</v>
      </c>
      <c r="AJ679" s="64">
        <v>0</v>
      </c>
      <c r="AK679" s="64">
        <v>0</v>
      </c>
      <c r="AL679" s="64">
        <v>0</v>
      </c>
      <c r="AM679" s="64">
        <v>248204.74180000002</v>
      </c>
      <c r="AN679" s="65">
        <v>27364.236599999997</v>
      </c>
      <c r="AO679" s="66">
        <v>52662.290186240003</v>
      </c>
      <c r="AP679" s="128">
        <f>+N679-'Приложение №2'!E688</f>
        <v>0</v>
      </c>
      <c r="AQ679" s="38">
        <v>189277.69</v>
      </c>
      <c r="AR679" s="25">
        <f t="shared" si="453"/>
        <v>37404.674999999996</v>
      </c>
      <c r="AS679" s="25">
        <f>+(K679*10.5+L679*21)*12*30</f>
        <v>1320165</v>
      </c>
      <c r="AT679" s="127">
        <f t="shared" si="465"/>
        <v>0</v>
      </c>
      <c r="AU679" s="127">
        <f>+P679-'[6]Приложение №1'!$P639</f>
        <v>0</v>
      </c>
      <c r="AV679" s="127">
        <f>+Q679-'[6]Приложение №1'!$Q639</f>
        <v>0</v>
      </c>
      <c r="AW679" s="88">
        <f t="shared" si="412"/>
        <v>3100973.0157528277</v>
      </c>
      <c r="AX679" s="64">
        <v>1317992.1013642142</v>
      </c>
      <c r="AY679" s="64">
        <v>812946.76704602782</v>
      </c>
      <c r="AZ679" s="64">
        <v>379638.95355079055</v>
      </c>
      <c r="BA679" s="64">
        <v>329956.81482307258</v>
      </c>
      <c r="BB679" s="64">
        <v>0</v>
      </c>
      <c r="BC679" s="64"/>
      <c r="BD679" s="64">
        <v>129150.51650498042</v>
      </c>
      <c r="BE679" s="64">
        <v>0</v>
      </c>
      <c r="BF679" s="64">
        <v>0</v>
      </c>
      <c r="BG679" s="64">
        <v>0</v>
      </c>
      <c r="BH679" s="64">
        <v>0</v>
      </c>
      <c r="BI679" s="64">
        <v>0</v>
      </c>
      <c r="BJ679" s="64">
        <v>41000.181395172825</v>
      </c>
      <c r="BK679" s="65">
        <v>25346.681395172825</v>
      </c>
      <c r="BL679" s="66">
        <v>64940.999673397149</v>
      </c>
    </row>
    <row r="680" spans="1:64" x14ac:dyDescent="0.25">
      <c r="A680" s="141">
        <f t="shared" si="463"/>
        <v>661</v>
      </c>
      <c r="B680" s="142">
        <f t="shared" si="464"/>
        <v>203</v>
      </c>
      <c r="C680" s="62" t="s">
        <v>54</v>
      </c>
      <c r="D680" s="62" t="s">
        <v>927</v>
      </c>
      <c r="E680" s="123">
        <v>1989</v>
      </c>
      <c r="F680" s="123">
        <v>1989</v>
      </c>
      <c r="G680" s="123" t="s">
        <v>43</v>
      </c>
      <c r="H680" s="123">
        <v>5</v>
      </c>
      <c r="I680" s="123">
        <v>2</v>
      </c>
      <c r="J680" s="64">
        <v>1113.04</v>
      </c>
      <c r="K680" s="64">
        <v>865.12</v>
      </c>
      <c r="L680" s="64">
        <v>0</v>
      </c>
      <c r="M680" s="124">
        <v>28</v>
      </c>
      <c r="N680" s="63">
        <f t="shared" si="442"/>
        <v>3845462.3064123672</v>
      </c>
      <c r="O680" s="64"/>
      <c r="P680" s="65"/>
      <c r="Q680" s="65"/>
      <c r="R680" s="65">
        <f t="shared" ref="R680:R695" si="466">+AQ680+AR680</f>
        <v>599687.45199999993</v>
      </c>
      <c r="S680" s="65">
        <f>+'Приложение №2'!E689-'Приложение №1'!R680</f>
        <v>3245774.8544123671</v>
      </c>
      <c r="T680" s="65">
        <v>0</v>
      </c>
      <c r="U680" s="65">
        <f t="shared" si="462"/>
        <v>4445.0045154572399</v>
      </c>
      <c r="V680" s="65">
        <v>1360.2830200640001</v>
      </c>
      <c r="W680" s="126">
        <v>2024</v>
      </c>
      <c r="X680" s="127" t="e">
        <f>+#REF!-'[1]Приложение №1'!$P1125</f>
        <v>#REF!</v>
      </c>
      <c r="Z680" s="63">
        <f t="shared" si="441"/>
        <v>3813311.24</v>
      </c>
      <c r="AA680" s="64">
        <v>2150190.8694575401</v>
      </c>
      <c r="AB680" s="64">
        <v>760761.90151710005</v>
      </c>
      <c r="AC680" s="64">
        <v>380042.30206949997</v>
      </c>
      <c r="AD680" s="64">
        <v>0</v>
      </c>
      <c r="AE680" s="64">
        <v>0</v>
      </c>
      <c r="AF680" s="64"/>
      <c r="AG680" s="64">
        <v>85315.658345399992</v>
      </c>
      <c r="AH680" s="64">
        <v>0</v>
      </c>
      <c r="AI680" s="64">
        <v>0</v>
      </c>
      <c r="AJ680" s="64">
        <v>0</v>
      </c>
      <c r="AK680" s="64">
        <v>0</v>
      </c>
      <c r="AL680" s="64">
        <v>0</v>
      </c>
      <c r="AM680" s="64">
        <v>325034.3187</v>
      </c>
      <c r="AN680" s="65">
        <v>38133.112399999998</v>
      </c>
      <c r="AO680" s="66">
        <v>73833.077510459989</v>
      </c>
      <c r="AP680" s="128">
        <f>+N680-'Приложение №2'!E689</f>
        <v>0</v>
      </c>
      <c r="AQ680" s="38">
        <v>507033.1</v>
      </c>
      <c r="AR680" s="25">
        <f t="shared" si="453"/>
        <v>92654.351999999999</v>
      </c>
      <c r="AS680" s="25">
        <f>+(K680*10.5+L680*21)*12*30</f>
        <v>3270153.5999999996</v>
      </c>
      <c r="AT680" s="127">
        <f t="shared" si="465"/>
        <v>-24378.745587632526</v>
      </c>
      <c r="AU680" s="127">
        <f>+P680-'[6]Приложение №1'!$P640</f>
        <v>0</v>
      </c>
      <c r="AV680" s="127">
        <f>+Q680-'[6]Приложение №1'!$Q640</f>
        <v>0</v>
      </c>
      <c r="AW680" s="88">
        <f t="shared" si="412"/>
        <v>3845462.3064123672</v>
      </c>
      <c r="AX680" s="64">
        <v>2560605.405990656</v>
      </c>
      <c r="AY680" s="64">
        <v>1040839.3158189601</v>
      </c>
      <c r="AZ680" s="64">
        <v>0</v>
      </c>
      <c r="BA680" s="64">
        <v>0</v>
      </c>
      <c r="BB680" s="64">
        <v>0</v>
      </c>
      <c r="BC680" s="64"/>
      <c r="BD680" s="64">
        <v>93686.498467055586</v>
      </c>
      <c r="BE680" s="64">
        <v>0</v>
      </c>
      <c r="BF680" s="64"/>
      <c r="BG680" s="64">
        <v>0</v>
      </c>
      <c r="BH680" s="64">
        <v>0</v>
      </c>
      <c r="BI680" s="64">
        <v>0</v>
      </c>
      <c r="BJ680" s="64">
        <v>52549.16012695204</v>
      </c>
      <c r="BK680" s="65">
        <v>16976.890126952036</v>
      </c>
      <c r="BL680" s="66">
        <v>80805.035881791104</v>
      </c>
    </row>
    <row r="681" spans="1:64" x14ac:dyDescent="0.25">
      <c r="A681" s="141">
        <f t="shared" si="463"/>
        <v>662</v>
      </c>
      <c r="B681" s="142">
        <f t="shared" si="464"/>
        <v>204</v>
      </c>
      <c r="C681" s="62" t="s">
        <v>65</v>
      </c>
      <c r="D681" s="62" t="s">
        <v>798</v>
      </c>
      <c r="E681" s="123">
        <v>1980</v>
      </c>
      <c r="F681" s="123">
        <v>2000</v>
      </c>
      <c r="G681" s="123" t="s">
        <v>43</v>
      </c>
      <c r="H681" s="123">
        <v>4</v>
      </c>
      <c r="I681" s="123">
        <v>2</v>
      </c>
      <c r="J681" s="64">
        <v>1287.7</v>
      </c>
      <c r="K681" s="64">
        <v>1277.9000000000001</v>
      </c>
      <c r="L681" s="64">
        <v>0</v>
      </c>
      <c r="M681" s="124">
        <v>40</v>
      </c>
      <c r="N681" s="95">
        <f t="shared" ref="N681:N687" si="467">+P681+Q681+R681+S681+T681</f>
        <v>4035248.7116984078</v>
      </c>
      <c r="O681" s="64"/>
      <c r="P681" s="65"/>
      <c r="Q681" s="65"/>
      <c r="R681" s="65">
        <f t="shared" ref="R681:R687" si="468">+AQ681+AR681</f>
        <v>715787.88</v>
      </c>
      <c r="S681" s="65">
        <f>+'Приложение №2'!E690-'Приложение №1'!R681</f>
        <v>3319460.8316984079</v>
      </c>
      <c r="T681" s="65">
        <v>1.1641532182693481E-10</v>
      </c>
      <c r="U681" s="64">
        <f t="shared" ref="U681:V687" si="469">$N681/($K681+$L681)</f>
        <v>3157.7186882372703</v>
      </c>
      <c r="V681" s="64">
        <f t="shared" si="469"/>
        <v>3157.7186882372703</v>
      </c>
      <c r="W681" s="126">
        <v>2024</v>
      </c>
      <c r="X681" s="127" t="e">
        <f>+#REF!-'[1]Приложение №1'!$P787</f>
        <v>#REF!</v>
      </c>
      <c r="Z681" s="63">
        <f t="shared" ref="Z681:Z687" si="470">SUM(AA681:AO681)</f>
        <v>9299405.044942271</v>
      </c>
      <c r="AA681" s="64">
        <v>3595441.7299740082</v>
      </c>
      <c r="AB681" s="64">
        <v>1661086.1448613489</v>
      </c>
      <c r="AC681" s="64">
        <v>1682740.6874936828</v>
      </c>
      <c r="AD681" s="64">
        <v>1087023.0029267459</v>
      </c>
      <c r="AE681" s="64">
        <v>0</v>
      </c>
      <c r="AF681" s="64"/>
      <c r="AG681" s="64">
        <v>125708.39506661828</v>
      </c>
      <c r="AH681" s="64">
        <v>0</v>
      </c>
      <c r="AI681" s="64">
        <v>0</v>
      </c>
      <c r="AJ681" s="64">
        <v>0</v>
      </c>
      <c r="AK681" s="64">
        <v>0</v>
      </c>
      <c r="AL681" s="64">
        <v>0</v>
      </c>
      <c r="AM681" s="64">
        <v>876143.30562875385</v>
      </c>
      <c r="AN681" s="65">
        <v>92994.050449422735</v>
      </c>
      <c r="AO681" s="66">
        <v>178267.72854169167</v>
      </c>
      <c r="AP681" s="128">
        <f>+N681-'Приложение №2'!E690</f>
        <v>0</v>
      </c>
      <c r="AQ681" s="23">
        <v>585442.07999999996</v>
      </c>
      <c r="AR681" s="25">
        <f t="shared" ref="AR681:AR687" si="471">+(K681*10+L681*20)*12*0.85</f>
        <v>130345.8</v>
      </c>
      <c r="AS681" s="25">
        <f t="shared" ref="AS681:AS687" si="472">+(K681*10+L681*20)*12*30</f>
        <v>4600440</v>
      </c>
      <c r="AT681" s="127">
        <f t="shared" ref="AT681:AT687" si="473">+S681-AS681</f>
        <v>-1280979.1683015921</v>
      </c>
      <c r="AU681" s="127">
        <f>+P681-'[6]Приложение №1'!$P348</f>
        <v>-3041730.66</v>
      </c>
      <c r="AV681" s="127">
        <f>+Q681-'[6]Приложение №1'!$Q348</f>
        <v>0</v>
      </c>
      <c r="AW681" s="63">
        <f t="shared" si="412"/>
        <v>4035248.7116984078</v>
      </c>
      <c r="AX681" s="64">
        <v>3828166.3</v>
      </c>
      <c r="AY681" s="64"/>
      <c r="AZ681" s="64"/>
      <c r="BA681" s="64"/>
      <c r="BB681" s="64">
        <v>0</v>
      </c>
      <c r="BC681" s="64"/>
      <c r="BD681" s="64">
        <v>125708.39506661828</v>
      </c>
      <c r="BE681" s="64">
        <v>0</v>
      </c>
      <c r="BF681" s="64">
        <v>0</v>
      </c>
      <c r="BG681" s="64">
        <v>0</v>
      </c>
      <c r="BH681" s="64">
        <v>0</v>
      </c>
      <c r="BI681" s="64">
        <v>0</v>
      </c>
      <c r="BJ681" s="64"/>
      <c r="BK681" s="65"/>
      <c r="BL681" s="66">
        <v>81374.016631789709</v>
      </c>
    </row>
    <row r="682" spans="1:64" x14ac:dyDescent="0.25">
      <c r="A682" s="141">
        <f t="shared" si="463"/>
        <v>663</v>
      </c>
      <c r="B682" s="142">
        <f t="shared" si="464"/>
        <v>205</v>
      </c>
      <c r="C682" s="62" t="s">
        <v>65</v>
      </c>
      <c r="D682" s="62" t="s">
        <v>801</v>
      </c>
      <c r="E682" s="123">
        <v>1970</v>
      </c>
      <c r="F682" s="123">
        <v>2013</v>
      </c>
      <c r="G682" s="123" t="s">
        <v>43</v>
      </c>
      <c r="H682" s="123">
        <v>4</v>
      </c>
      <c r="I682" s="123">
        <v>2</v>
      </c>
      <c r="J682" s="64">
        <v>1446.8</v>
      </c>
      <c r="K682" s="64">
        <v>1340.5</v>
      </c>
      <c r="L682" s="64">
        <v>0</v>
      </c>
      <c r="M682" s="124">
        <v>57</v>
      </c>
      <c r="N682" s="95">
        <f t="shared" si="467"/>
        <v>1947788.4374377709</v>
      </c>
      <c r="O682" s="64"/>
      <c r="P682" s="65"/>
      <c r="Q682" s="65"/>
      <c r="R682" s="65">
        <f t="shared" si="468"/>
        <v>781595.57</v>
      </c>
      <c r="S682" s="65">
        <f>+'Приложение №2'!E691-'Приложение №1'!R682</f>
        <v>1166192.8674377711</v>
      </c>
      <c r="T682" s="65">
        <v>0</v>
      </c>
      <c r="U682" s="64">
        <f t="shared" si="469"/>
        <v>1453.0312849218731</v>
      </c>
      <c r="V682" s="64">
        <f t="shared" si="469"/>
        <v>1453.0312849218731</v>
      </c>
      <c r="W682" s="126">
        <v>2024</v>
      </c>
      <c r="X682" s="127" t="e">
        <f>+#REF!-'[1]Приложение №1'!$P1146</f>
        <v>#REF!</v>
      </c>
      <c r="Z682" s="63">
        <f t="shared" si="470"/>
        <v>1958621.6233209604</v>
      </c>
      <c r="AA682" s="64">
        <v>0</v>
      </c>
      <c r="AB682" s="64">
        <v>0</v>
      </c>
      <c r="AC682" s="64">
        <v>1705869.3373178835</v>
      </c>
      <c r="AD682" s="64">
        <v>0</v>
      </c>
      <c r="AE682" s="64">
        <v>0</v>
      </c>
      <c r="AF682" s="64"/>
      <c r="AG682" s="64">
        <v>0</v>
      </c>
      <c r="AH682" s="64">
        <v>0</v>
      </c>
      <c r="AI682" s="64">
        <v>0</v>
      </c>
      <c r="AJ682" s="64">
        <v>0</v>
      </c>
      <c r="AK682" s="64">
        <v>0</v>
      </c>
      <c r="AL682" s="64">
        <v>0</v>
      </c>
      <c r="AM682" s="64">
        <v>195862.16233209602</v>
      </c>
      <c r="AN682" s="65">
        <v>19586.216233209601</v>
      </c>
      <c r="AO682" s="66">
        <v>37303.907437771006</v>
      </c>
      <c r="AP682" s="128">
        <f>+N682-'Приложение №2'!E691</f>
        <v>0</v>
      </c>
      <c r="AQ682" s="23">
        <v>644864.56999999995</v>
      </c>
      <c r="AR682" s="25">
        <f t="shared" si="471"/>
        <v>136731</v>
      </c>
      <c r="AS682" s="25">
        <f t="shared" si="472"/>
        <v>4825800</v>
      </c>
      <c r="AT682" s="127">
        <f t="shared" si="473"/>
        <v>-3659607.1325622289</v>
      </c>
      <c r="AU682" s="127">
        <f>+P682-'[6]Приложение №1'!$P349</f>
        <v>-3841991.13</v>
      </c>
      <c r="AV682" s="127">
        <f>+Q682-'[6]Приложение №1'!$Q349</f>
        <v>0</v>
      </c>
      <c r="AW682" s="63">
        <f t="shared" si="412"/>
        <v>1947788.4374377711</v>
      </c>
      <c r="AX682" s="64"/>
      <c r="AY682" s="64"/>
      <c r="AZ682" s="64">
        <v>1910484.53</v>
      </c>
      <c r="BA682" s="64">
        <v>0</v>
      </c>
      <c r="BB682" s="64">
        <v>0</v>
      </c>
      <c r="BC682" s="64"/>
      <c r="BD682" s="64"/>
      <c r="BE682" s="64">
        <v>0</v>
      </c>
      <c r="BF682" s="64">
        <v>0</v>
      </c>
      <c r="BG682" s="64">
        <v>0</v>
      </c>
      <c r="BH682" s="64">
        <v>0</v>
      </c>
      <c r="BI682" s="64">
        <v>0</v>
      </c>
      <c r="BJ682" s="64"/>
      <c r="BK682" s="65"/>
      <c r="BL682" s="66">
        <v>37303.907437771006</v>
      </c>
    </row>
    <row r="683" spans="1:64" x14ac:dyDescent="0.25">
      <c r="A683" s="141">
        <f t="shared" si="463"/>
        <v>664</v>
      </c>
      <c r="B683" s="142">
        <f t="shared" si="464"/>
        <v>206</v>
      </c>
      <c r="C683" s="62" t="s">
        <v>65</v>
      </c>
      <c r="D683" s="62" t="s">
        <v>802</v>
      </c>
      <c r="E683" s="123">
        <v>1965</v>
      </c>
      <c r="F683" s="123">
        <v>2006</v>
      </c>
      <c r="G683" s="123" t="s">
        <v>43</v>
      </c>
      <c r="H683" s="123">
        <v>3</v>
      </c>
      <c r="I683" s="123">
        <v>2</v>
      </c>
      <c r="J683" s="64">
        <v>1057</v>
      </c>
      <c r="K683" s="64">
        <v>910.1</v>
      </c>
      <c r="L683" s="64">
        <v>0</v>
      </c>
      <c r="M683" s="124">
        <v>42</v>
      </c>
      <c r="N683" s="95">
        <f t="shared" si="467"/>
        <v>1365207.499136603</v>
      </c>
      <c r="O683" s="64"/>
      <c r="P683" s="65"/>
      <c r="Q683" s="65"/>
      <c r="R683" s="65">
        <f t="shared" si="468"/>
        <v>507657.83</v>
      </c>
      <c r="S683" s="65">
        <f>+'Приложение №2'!E692-'Приложение №1'!R683</f>
        <v>857549.6691366029</v>
      </c>
      <c r="T683" s="65">
        <v>0</v>
      </c>
      <c r="U683" s="64">
        <f t="shared" si="469"/>
        <v>1500.0631789216602</v>
      </c>
      <c r="V683" s="64">
        <f t="shared" si="469"/>
        <v>1500.0631789216602</v>
      </c>
      <c r="W683" s="126">
        <v>2024</v>
      </c>
      <c r="X683" s="127" t="e">
        <f>+#REF!-'[1]Приложение №1'!$P1147</f>
        <v>#REF!</v>
      </c>
      <c r="Z683" s="63">
        <f t="shared" si="470"/>
        <v>8816238.8611652162</v>
      </c>
      <c r="AA683" s="64">
        <v>4211114.5920837251</v>
      </c>
      <c r="AB683" s="64">
        <v>2542939.3447388657</v>
      </c>
      <c r="AC683" s="64">
        <v>1017036.5333214835</v>
      </c>
      <c r="AD683" s="64">
        <v>0</v>
      </c>
      <c r="AE683" s="64">
        <v>0</v>
      </c>
      <c r="AF683" s="64"/>
      <c r="AG683" s="64">
        <v>0</v>
      </c>
      <c r="AH683" s="64">
        <v>0</v>
      </c>
      <c r="AI683" s="64">
        <v>0</v>
      </c>
      <c r="AJ683" s="64">
        <v>0</v>
      </c>
      <c r="AK683" s="64">
        <v>0</v>
      </c>
      <c r="AL683" s="64">
        <v>0</v>
      </c>
      <c r="AM683" s="64">
        <v>787047.99294588482</v>
      </c>
      <c r="AN683" s="65">
        <v>88162.388611652161</v>
      </c>
      <c r="AO683" s="66">
        <v>169938.00946360437</v>
      </c>
      <c r="AP683" s="128">
        <f>+N683-'Приложение №2'!E692</f>
        <v>0</v>
      </c>
      <c r="AQ683" s="23">
        <v>414827.63</v>
      </c>
      <c r="AR683" s="25">
        <f t="shared" si="471"/>
        <v>92830.2</v>
      </c>
      <c r="AS683" s="25">
        <f t="shared" si="472"/>
        <v>3276360</v>
      </c>
      <c r="AT683" s="127">
        <f t="shared" si="473"/>
        <v>-2418810.3308633971</v>
      </c>
      <c r="AU683" s="127">
        <f>+P683-'[6]Приложение №1'!$P350</f>
        <v>-1932870.1700000009</v>
      </c>
      <c r="AV683" s="127">
        <f>+Q683-'[6]Приложение №1'!$Q350</f>
        <v>0</v>
      </c>
      <c r="AW683" s="63">
        <f t="shared" si="412"/>
        <v>1365207.499136603</v>
      </c>
      <c r="AX683" s="64"/>
      <c r="AY683" s="64"/>
      <c r="AZ683" s="64">
        <v>1342966.97</v>
      </c>
      <c r="BA683" s="64">
        <v>0</v>
      </c>
      <c r="BB683" s="64">
        <v>0</v>
      </c>
      <c r="BC683" s="64"/>
      <c r="BD683" s="64"/>
      <c r="BE683" s="64">
        <v>0</v>
      </c>
      <c r="BF683" s="64">
        <v>0</v>
      </c>
      <c r="BG683" s="64">
        <v>0</v>
      </c>
      <c r="BH683" s="64">
        <v>0</v>
      </c>
      <c r="BI683" s="64">
        <v>0</v>
      </c>
      <c r="BJ683" s="64"/>
      <c r="BK683" s="65"/>
      <c r="BL683" s="66">
        <v>22240.529136603051</v>
      </c>
    </row>
    <row r="684" spans="1:64" x14ac:dyDescent="0.25">
      <c r="A684" s="141">
        <f t="shared" si="463"/>
        <v>665</v>
      </c>
      <c r="B684" s="142">
        <f t="shared" si="464"/>
        <v>207</v>
      </c>
      <c r="C684" s="62" t="s">
        <v>65</v>
      </c>
      <c r="D684" s="62" t="s">
        <v>805</v>
      </c>
      <c r="E684" s="123">
        <v>1967</v>
      </c>
      <c r="F684" s="123">
        <v>2013</v>
      </c>
      <c r="G684" s="123" t="s">
        <v>43</v>
      </c>
      <c r="H684" s="123">
        <v>3</v>
      </c>
      <c r="I684" s="123">
        <v>2</v>
      </c>
      <c r="J684" s="64">
        <v>1043.9000000000001</v>
      </c>
      <c r="K684" s="64">
        <v>633.5</v>
      </c>
      <c r="L684" s="64">
        <v>326.8</v>
      </c>
      <c r="M684" s="124">
        <v>24</v>
      </c>
      <c r="N684" s="95">
        <f t="shared" si="467"/>
        <v>948573.00123749382</v>
      </c>
      <c r="O684" s="64"/>
      <c r="P684" s="65"/>
      <c r="Q684" s="65"/>
      <c r="R684" s="65">
        <f t="shared" si="468"/>
        <v>721179.51</v>
      </c>
      <c r="S684" s="65">
        <f>+'Приложение №2'!E693-'Приложение №1'!R684</f>
        <v>227393.49123749381</v>
      </c>
      <c r="T684" s="65">
        <v>0</v>
      </c>
      <c r="U684" s="64">
        <f t="shared" si="469"/>
        <v>987.78819247890647</v>
      </c>
      <c r="V684" s="64">
        <f t="shared" si="469"/>
        <v>987.78819247890647</v>
      </c>
      <c r="W684" s="126">
        <v>2024</v>
      </c>
      <c r="X684" s="127" t="e">
        <f>+#REF!-'[1]Приложение №1'!$P1150</f>
        <v>#REF!</v>
      </c>
      <c r="Z684" s="63">
        <f t="shared" si="470"/>
        <v>823749.40866816009</v>
      </c>
      <c r="AA684" s="64">
        <v>0</v>
      </c>
      <c r="AB684" s="64">
        <v>0</v>
      </c>
      <c r="AC684" s="64">
        <v>717447.84247716866</v>
      </c>
      <c r="AD684" s="64">
        <v>0</v>
      </c>
      <c r="AE684" s="64">
        <v>0</v>
      </c>
      <c r="AF684" s="64"/>
      <c r="AG684" s="64">
        <v>0</v>
      </c>
      <c r="AH684" s="64">
        <v>0</v>
      </c>
      <c r="AI684" s="64">
        <v>0</v>
      </c>
      <c r="AJ684" s="64">
        <v>0</v>
      </c>
      <c r="AK684" s="64">
        <v>0</v>
      </c>
      <c r="AL684" s="64">
        <v>0</v>
      </c>
      <c r="AM684" s="64">
        <v>82374.940866816018</v>
      </c>
      <c r="AN684" s="65">
        <v>8237.4940866816014</v>
      </c>
      <c r="AO684" s="66">
        <v>15689.131237493779</v>
      </c>
      <c r="AP684" s="128">
        <f>+N684-'Приложение №2'!E693</f>
        <v>0</v>
      </c>
      <c r="AQ684" s="23">
        <v>589895.31000000006</v>
      </c>
      <c r="AR684" s="25">
        <f t="shared" si="471"/>
        <v>131284.19999999998</v>
      </c>
      <c r="AS684" s="25">
        <f t="shared" si="472"/>
        <v>4633560</v>
      </c>
      <c r="AT684" s="127">
        <f t="shared" si="473"/>
        <v>-4406166.5087625058</v>
      </c>
      <c r="AU684" s="127">
        <f>+P684-'[6]Приложение №1'!$P353</f>
        <v>-1628827.3633333335</v>
      </c>
      <c r="AV684" s="127">
        <f>+Q684-'[6]Приложение №1'!$Q353</f>
        <v>0</v>
      </c>
      <c r="AW684" s="63">
        <f t="shared" si="412"/>
        <v>948573.00123749382</v>
      </c>
      <c r="AX684" s="64">
        <v>0</v>
      </c>
      <c r="AY684" s="64">
        <v>0</v>
      </c>
      <c r="AZ684" s="64">
        <v>932883.87</v>
      </c>
      <c r="BA684" s="64">
        <v>0</v>
      </c>
      <c r="BB684" s="64">
        <v>0</v>
      </c>
      <c r="BC684" s="64"/>
      <c r="BD684" s="64"/>
      <c r="BE684" s="64">
        <v>0</v>
      </c>
      <c r="BF684" s="64">
        <v>0</v>
      </c>
      <c r="BG684" s="64">
        <v>0</v>
      </c>
      <c r="BH684" s="64">
        <v>0</v>
      </c>
      <c r="BI684" s="64">
        <v>0</v>
      </c>
      <c r="BJ684" s="64"/>
      <c r="BK684" s="65"/>
      <c r="BL684" s="66">
        <v>15689.131237493779</v>
      </c>
    </row>
    <row r="685" spans="1:64" x14ac:dyDescent="0.25">
      <c r="A685" s="141">
        <f t="shared" si="463"/>
        <v>666</v>
      </c>
      <c r="B685" s="142">
        <f t="shared" si="464"/>
        <v>208</v>
      </c>
      <c r="C685" s="62" t="s">
        <v>65</v>
      </c>
      <c r="D685" s="62" t="s">
        <v>383</v>
      </c>
      <c r="E685" s="123">
        <v>1990</v>
      </c>
      <c r="F685" s="123">
        <v>2012</v>
      </c>
      <c r="G685" s="123" t="s">
        <v>43</v>
      </c>
      <c r="H685" s="123">
        <v>5</v>
      </c>
      <c r="I685" s="123">
        <v>4</v>
      </c>
      <c r="J685" s="64">
        <v>3306.7</v>
      </c>
      <c r="K685" s="64">
        <v>2787.1</v>
      </c>
      <c r="L685" s="64">
        <v>0</v>
      </c>
      <c r="M685" s="124">
        <v>110</v>
      </c>
      <c r="N685" s="95">
        <f t="shared" si="467"/>
        <v>21093264.575755343</v>
      </c>
      <c r="O685" s="64"/>
      <c r="P685" s="65">
        <v>3326870.9585851147</v>
      </c>
      <c r="Q685" s="65"/>
      <c r="R685" s="65">
        <f t="shared" si="468"/>
        <v>1067245.3</v>
      </c>
      <c r="S685" s="65">
        <f>+AS685</f>
        <v>10033560</v>
      </c>
      <c r="T685" s="65">
        <f>+'Приложение №2'!E694-'Приложение №1'!P685-'Приложение №1'!Q685-'Приложение №1'!R685-'Приложение №1'!S685</f>
        <v>6665588.3171702288</v>
      </c>
      <c r="U685" s="64">
        <f t="shared" si="469"/>
        <v>7568.1764471154047</v>
      </c>
      <c r="V685" s="64">
        <f t="shared" si="469"/>
        <v>7568.1764471154047</v>
      </c>
      <c r="W685" s="126">
        <v>2024</v>
      </c>
      <c r="X685" s="127" t="e">
        <f>+#REF!-'[1]Приложение №1'!$P1152</f>
        <v>#REF!</v>
      </c>
      <c r="Z685" s="63">
        <f t="shared" si="470"/>
        <v>20902928.128522508</v>
      </c>
      <c r="AA685" s="64">
        <v>0</v>
      </c>
      <c r="AB685" s="64">
        <v>0</v>
      </c>
      <c r="AC685" s="64">
        <v>0</v>
      </c>
      <c r="AD685" s="64">
        <v>0</v>
      </c>
      <c r="AE685" s="64">
        <v>0</v>
      </c>
      <c r="AF685" s="64"/>
      <c r="AG685" s="64">
        <v>0</v>
      </c>
      <c r="AH685" s="64">
        <v>0</v>
      </c>
      <c r="AI685" s="64">
        <v>18410044.919914912</v>
      </c>
      <c r="AJ685" s="64">
        <v>0</v>
      </c>
      <c r="AK685" s="64">
        <v>0</v>
      </c>
      <c r="AL685" s="64">
        <v>0</v>
      </c>
      <c r="AM685" s="64">
        <v>1881263.5315670257</v>
      </c>
      <c r="AN685" s="65">
        <v>209029.28128522509</v>
      </c>
      <c r="AO685" s="66">
        <v>402590.39575534349</v>
      </c>
      <c r="AP685" s="128">
        <f>+N685-'Приложение №2'!E694</f>
        <v>0</v>
      </c>
      <c r="AQ685" s="23">
        <v>782961.1</v>
      </c>
      <c r="AR685" s="25">
        <f t="shared" si="471"/>
        <v>284284.2</v>
      </c>
      <c r="AS685" s="25">
        <f t="shared" si="472"/>
        <v>10033560</v>
      </c>
      <c r="AT685" s="127">
        <f t="shared" si="473"/>
        <v>0</v>
      </c>
      <c r="AU685" s="127">
        <f>+P685-'[6]Приложение №1'!$P355</f>
        <v>0</v>
      </c>
      <c r="AV685" s="127">
        <f>+Q685-'[6]Приложение №1'!$Q355</f>
        <v>0</v>
      </c>
      <c r="AW685" s="63">
        <f t="shared" si="412"/>
        <v>21093264.575755343</v>
      </c>
      <c r="AX685" s="64">
        <v>0</v>
      </c>
      <c r="AY685" s="64">
        <v>0</v>
      </c>
      <c r="AZ685" s="64">
        <v>0</v>
      </c>
      <c r="BA685" s="64">
        <v>0</v>
      </c>
      <c r="BB685" s="64">
        <v>0</v>
      </c>
      <c r="BC685" s="64"/>
      <c r="BD685" s="64"/>
      <c r="BE685" s="64">
        <v>0</v>
      </c>
      <c r="BF685" s="64">
        <v>20690674.18</v>
      </c>
      <c r="BG685" s="64">
        <v>0</v>
      </c>
      <c r="BH685" s="64">
        <v>0</v>
      </c>
      <c r="BI685" s="64">
        <v>0</v>
      </c>
      <c r="BJ685" s="64"/>
      <c r="BK685" s="65"/>
      <c r="BL685" s="66">
        <v>402590.39575534349</v>
      </c>
    </row>
    <row r="686" spans="1:64" x14ac:dyDescent="0.25">
      <c r="A686" s="141">
        <f t="shared" si="463"/>
        <v>667</v>
      </c>
      <c r="B686" s="142">
        <f t="shared" si="464"/>
        <v>209</v>
      </c>
      <c r="C686" s="62" t="s">
        <v>65</v>
      </c>
      <c r="D686" s="62" t="s">
        <v>807</v>
      </c>
      <c r="E686" s="123">
        <v>1970</v>
      </c>
      <c r="F686" s="123">
        <v>2013</v>
      </c>
      <c r="G686" s="123" t="s">
        <v>43</v>
      </c>
      <c r="H686" s="123">
        <v>3</v>
      </c>
      <c r="I686" s="123">
        <v>2</v>
      </c>
      <c r="J686" s="64">
        <v>1053.5</v>
      </c>
      <c r="K686" s="64">
        <v>637.79999999999995</v>
      </c>
      <c r="L686" s="64">
        <v>0</v>
      </c>
      <c r="M686" s="124">
        <v>23</v>
      </c>
      <c r="N686" s="95">
        <f t="shared" si="467"/>
        <v>951471.1264880274</v>
      </c>
      <c r="O686" s="64"/>
      <c r="P686" s="65"/>
      <c r="Q686" s="65"/>
      <c r="R686" s="65">
        <f t="shared" si="468"/>
        <v>328042.14999999997</v>
      </c>
      <c r="S686" s="65">
        <f>+'Приложение №2'!E695-'Приложение №1'!R686</f>
        <v>623428.97648802749</v>
      </c>
      <c r="T686" s="65">
        <v>0</v>
      </c>
      <c r="U686" s="64">
        <f t="shared" si="469"/>
        <v>1491.8017034933011</v>
      </c>
      <c r="V686" s="64">
        <f t="shared" si="469"/>
        <v>1491.8017034933011</v>
      </c>
      <c r="W686" s="126">
        <v>2024</v>
      </c>
      <c r="X686" s="127" t="e">
        <f>+#REF!-'[1]Приложение №1'!$P1153</f>
        <v>#REF!</v>
      </c>
      <c r="Z686" s="63">
        <f t="shared" si="470"/>
        <v>7495898.6137351692</v>
      </c>
      <c r="AA686" s="64">
        <v>2954908.2826843821</v>
      </c>
      <c r="AB686" s="64">
        <v>1784361.9231493648</v>
      </c>
      <c r="AC686" s="64">
        <v>713647.09042914386</v>
      </c>
      <c r="AD686" s="64">
        <v>0</v>
      </c>
      <c r="AE686" s="64">
        <v>0</v>
      </c>
      <c r="AF686" s="64"/>
      <c r="AG686" s="64">
        <v>214102.51111192559</v>
      </c>
      <c r="AH686" s="64">
        <v>0</v>
      </c>
      <c r="AI686" s="64">
        <v>0</v>
      </c>
      <c r="AJ686" s="64">
        <v>0</v>
      </c>
      <c r="AK686" s="64">
        <v>946168.58854243939</v>
      </c>
      <c r="AL686" s="64">
        <v>0</v>
      </c>
      <c r="AM686" s="64">
        <v>663134.19543221779</v>
      </c>
      <c r="AN686" s="65">
        <v>74958.986137351691</v>
      </c>
      <c r="AO686" s="66">
        <v>144617.03624834382</v>
      </c>
      <c r="AP686" s="128">
        <f>+N686-'Приложение №2'!E695</f>
        <v>0</v>
      </c>
      <c r="AQ686" s="23">
        <v>262986.55</v>
      </c>
      <c r="AR686" s="25">
        <f t="shared" si="471"/>
        <v>65055.6</v>
      </c>
      <c r="AS686" s="25">
        <f t="shared" si="472"/>
        <v>2296080</v>
      </c>
      <c r="AT686" s="127">
        <f t="shared" si="473"/>
        <v>-1672651.0235119725</v>
      </c>
      <c r="AU686" s="127">
        <f>+P686-'[6]Приложение №1'!$P356</f>
        <v>0</v>
      </c>
      <c r="AV686" s="127">
        <f>+Q686-'[6]Приложение №1'!$Q356</f>
        <v>0</v>
      </c>
      <c r="AW686" s="63">
        <f t="shared" si="412"/>
        <v>951471.1264880274</v>
      </c>
      <c r="AX686" s="64"/>
      <c r="AY686" s="64"/>
      <c r="AZ686" s="64">
        <v>935865.11</v>
      </c>
      <c r="BA686" s="64">
        <v>0</v>
      </c>
      <c r="BB686" s="64">
        <v>0</v>
      </c>
      <c r="BC686" s="64"/>
      <c r="BD686" s="64"/>
      <c r="BE686" s="64">
        <v>0</v>
      </c>
      <c r="BF686" s="64">
        <v>0</v>
      </c>
      <c r="BG686" s="64">
        <v>0</v>
      </c>
      <c r="BH686" s="64"/>
      <c r="BI686" s="64">
        <v>0</v>
      </c>
      <c r="BJ686" s="64"/>
      <c r="BK686" s="65"/>
      <c r="BL686" s="66">
        <v>15606.016488027466</v>
      </c>
    </row>
    <row r="687" spans="1:64" x14ac:dyDescent="0.25">
      <c r="A687" s="141">
        <f t="shared" si="463"/>
        <v>668</v>
      </c>
      <c r="B687" s="142">
        <f t="shared" si="464"/>
        <v>210</v>
      </c>
      <c r="C687" s="62" t="s">
        <v>65</v>
      </c>
      <c r="D687" s="62" t="s">
        <v>808</v>
      </c>
      <c r="E687" s="123">
        <v>1964</v>
      </c>
      <c r="F687" s="123">
        <v>2006</v>
      </c>
      <c r="G687" s="123" t="s">
        <v>43</v>
      </c>
      <c r="H687" s="123">
        <v>3</v>
      </c>
      <c r="I687" s="123">
        <v>2</v>
      </c>
      <c r="J687" s="64">
        <v>1137</v>
      </c>
      <c r="K687" s="64">
        <v>898.1</v>
      </c>
      <c r="L687" s="64">
        <v>238.9</v>
      </c>
      <c r="M687" s="124">
        <v>31</v>
      </c>
      <c r="N687" s="95">
        <f t="shared" si="467"/>
        <v>6917016.3592651244</v>
      </c>
      <c r="O687" s="64"/>
      <c r="P687" s="65">
        <v>1463463.5249940937</v>
      </c>
      <c r="Q687" s="65"/>
      <c r="R687" s="65">
        <f t="shared" si="468"/>
        <v>729407.92999999993</v>
      </c>
      <c r="S687" s="65">
        <f>+'Приложение №2'!E696-'Приложение №1'!R687-P687</f>
        <v>4724144.9042710308</v>
      </c>
      <c r="T687" s="65">
        <f>+'Приложение №2'!E696-'Приложение №1'!P687-'Приложение №1'!Q687-'Приложение №1'!R687-'Приложение №1'!S687</f>
        <v>0</v>
      </c>
      <c r="U687" s="64">
        <f t="shared" si="469"/>
        <v>6083.5675982982621</v>
      </c>
      <c r="V687" s="64">
        <f t="shared" si="469"/>
        <v>6083.5675982982621</v>
      </c>
      <c r="W687" s="126">
        <v>2024</v>
      </c>
      <c r="X687" s="127" t="e">
        <f>+#REF!-'[1]Приложение №1'!$P1154</f>
        <v>#REF!</v>
      </c>
      <c r="Z687" s="63">
        <f t="shared" si="470"/>
        <v>23160120.339689046</v>
      </c>
      <c r="AA687" s="64">
        <v>4146776.8334225207</v>
      </c>
      <c r="AB687" s="64">
        <v>2504088.1061239289</v>
      </c>
      <c r="AC687" s="64">
        <v>0</v>
      </c>
      <c r="AD687" s="64">
        <v>0</v>
      </c>
      <c r="AE687" s="64">
        <v>0</v>
      </c>
      <c r="AF687" s="64"/>
      <c r="AG687" s="64">
        <v>300461.21507702715</v>
      </c>
      <c r="AH687" s="64">
        <v>0</v>
      </c>
      <c r="AI687" s="64">
        <v>12145951.94218928</v>
      </c>
      <c r="AJ687" s="64">
        <v>0</v>
      </c>
      <c r="AK687" s="64">
        <v>1327807.7043784016</v>
      </c>
      <c r="AL687" s="64">
        <v>0</v>
      </c>
      <c r="AM687" s="64">
        <v>2056778.0764197302</v>
      </c>
      <c r="AN687" s="65">
        <v>231601.20339689046</v>
      </c>
      <c r="AO687" s="66">
        <v>446655.25868126994</v>
      </c>
      <c r="AP687" s="128">
        <f>+N687-'Приложение №2'!E696</f>
        <v>0</v>
      </c>
      <c r="AQ687" s="23">
        <v>589066.13</v>
      </c>
      <c r="AR687" s="25">
        <f t="shared" si="471"/>
        <v>140341.79999999999</v>
      </c>
      <c r="AS687" s="25">
        <f t="shared" si="472"/>
        <v>4953240</v>
      </c>
      <c r="AT687" s="127">
        <f t="shared" si="473"/>
        <v>-229095.0957289692</v>
      </c>
      <c r="AU687" s="127">
        <f>+P687-'[6]Приложение №1'!$P357</f>
        <v>0</v>
      </c>
      <c r="AV687" s="127">
        <f>+Q687-'[6]Приложение №1'!$Q357</f>
        <v>0</v>
      </c>
      <c r="AW687" s="63">
        <f t="shared" si="412"/>
        <v>6917016.3592651244</v>
      </c>
      <c r="AX687" s="64"/>
      <c r="AY687" s="64"/>
      <c r="AZ687" s="64">
        <v>0</v>
      </c>
      <c r="BA687" s="64">
        <v>0</v>
      </c>
      <c r="BB687" s="64">
        <v>0</v>
      </c>
      <c r="BC687" s="64"/>
      <c r="BD687" s="64"/>
      <c r="BE687" s="64">
        <v>0</v>
      </c>
      <c r="BF687" s="64">
        <v>6651408.9900000002</v>
      </c>
      <c r="BG687" s="64">
        <v>0</v>
      </c>
      <c r="BH687" s="64"/>
      <c r="BI687" s="64">
        <v>0</v>
      </c>
      <c r="BJ687" s="64"/>
      <c r="BK687" s="65"/>
      <c r="BL687" s="66">
        <v>265607.36926512426</v>
      </c>
    </row>
    <row r="688" spans="1:64" x14ac:dyDescent="0.25">
      <c r="A688" s="141">
        <f t="shared" si="463"/>
        <v>669</v>
      </c>
      <c r="B688" s="142">
        <f t="shared" si="464"/>
        <v>211</v>
      </c>
      <c r="C688" s="62" t="s">
        <v>65</v>
      </c>
      <c r="D688" s="62" t="s">
        <v>809</v>
      </c>
      <c r="E688" s="123">
        <v>1965</v>
      </c>
      <c r="F688" s="123">
        <v>2006</v>
      </c>
      <c r="G688" s="123" t="s">
        <v>43</v>
      </c>
      <c r="H688" s="123">
        <v>3</v>
      </c>
      <c r="I688" s="123">
        <v>2</v>
      </c>
      <c r="J688" s="64">
        <v>1034.0999999999999</v>
      </c>
      <c r="K688" s="64">
        <v>959.8</v>
      </c>
      <c r="L688" s="64">
        <v>0</v>
      </c>
      <c r="M688" s="124">
        <v>25</v>
      </c>
      <c r="N688" s="95">
        <f t="shared" ref="N688" si="474">+P688+Q688+R688+S688+T688</f>
        <v>1726975.3066505387</v>
      </c>
      <c r="O688" s="64"/>
      <c r="P688" s="65"/>
      <c r="Q688" s="65"/>
      <c r="R688" s="65">
        <f>+AR688</f>
        <v>97899.599999999991</v>
      </c>
      <c r="S688" s="65">
        <f>+AS688</f>
        <v>0</v>
      </c>
      <c r="T688" s="65">
        <f>+'Приложение №2'!E697-'Приложение №1'!P688-'Приложение №1'!Q688-'Приложение №1'!R688-'Приложение №1'!S688</f>
        <v>1629075.7066505386</v>
      </c>
      <c r="U688" s="64">
        <f t="shared" ref="U688:V688" si="475">$N688/($K688+$L688)</f>
        <v>1799.3074668165648</v>
      </c>
      <c r="V688" s="64">
        <f t="shared" si="475"/>
        <v>1799.3074668165648</v>
      </c>
      <c r="W688" s="126">
        <v>2024</v>
      </c>
      <c r="X688" s="127" t="e">
        <f>+#REF!-'[1]Приложение №1'!$P1492</f>
        <v>#REF!</v>
      </c>
      <c r="Z688" s="63">
        <f t="shared" ref="Z688" si="476">SUM(AA688:AO688)</f>
        <v>26038489.198511466</v>
      </c>
      <c r="AA688" s="64">
        <v>4441619.6554886159</v>
      </c>
      <c r="AB688" s="64">
        <v>2682132.990999578</v>
      </c>
      <c r="AC688" s="64">
        <v>1072706.3721425538</v>
      </c>
      <c r="AD688" s="64">
        <v>0</v>
      </c>
      <c r="AE688" s="64">
        <v>0</v>
      </c>
      <c r="AF688" s="64"/>
      <c r="AG688" s="64">
        <v>321824.51388315129</v>
      </c>
      <c r="AH688" s="64">
        <v>0</v>
      </c>
      <c r="AI688" s="64">
        <v>13009549.596746104</v>
      </c>
      <c r="AJ688" s="64">
        <v>0</v>
      </c>
      <c r="AK688" s="64">
        <v>1422217.070121123</v>
      </c>
      <c r="AL688" s="64">
        <v>0</v>
      </c>
      <c r="AM688" s="64">
        <v>2326182.990992805</v>
      </c>
      <c r="AN688" s="65">
        <v>260384.89198511466</v>
      </c>
      <c r="AO688" s="66">
        <v>501871.1161524179</v>
      </c>
      <c r="AP688" s="128">
        <f>+N688-'Приложение №2'!E697</f>
        <v>0</v>
      </c>
      <c r="AQ688" s="127">
        <f>386937-R399</f>
        <v>-97899.599999999977</v>
      </c>
      <c r="AR688" s="25">
        <f t="shared" ref="AR688" si="477">+(K688*10+L688*20)*12*0.85</f>
        <v>97899.599999999991</v>
      </c>
      <c r="AS688" s="25">
        <f>+(K688*10+L688*20)*12*30-S399</f>
        <v>0</v>
      </c>
      <c r="AT688" s="127">
        <f t="shared" ref="AT688" si="478">+S688-AS688</f>
        <v>0</v>
      </c>
      <c r="AU688" s="127">
        <f>+P688-'[6]Приложение №1'!$P695</f>
        <v>-3458722.2639504001</v>
      </c>
      <c r="AV688" s="127">
        <f>+Q688-'[6]Приложение №1'!$Q695</f>
        <v>0</v>
      </c>
      <c r="AW688" s="63">
        <f t="shared" si="412"/>
        <v>1726975.3066505387</v>
      </c>
      <c r="AX688" s="64"/>
      <c r="AY688" s="64"/>
      <c r="AZ688" s="64">
        <v>1419024.89</v>
      </c>
      <c r="BA688" s="64">
        <v>0</v>
      </c>
      <c r="BB688" s="64">
        <v>0</v>
      </c>
      <c r="BC688" s="64"/>
      <c r="BD688" s="64"/>
      <c r="BE688" s="64">
        <v>0</v>
      </c>
      <c r="BF688" s="64"/>
      <c r="BG688" s="64">
        <v>0</v>
      </c>
      <c r="BH688" s="64"/>
      <c r="BI688" s="64">
        <v>0</v>
      </c>
      <c r="BJ688" s="64"/>
      <c r="BK688" s="65"/>
      <c r="BL688" s="66">
        <v>307950.4166505388</v>
      </c>
    </row>
    <row r="689" spans="1:64" x14ac:dyDescent="0.25">
      <c r="A689" s="141">
        <f t="shared" si="463"/>
        <v>670</v>
      </c>
      <c r="B689" s="142">
        <f t="shared" si="464"/>
        <v>212</v>
      </c>
      <c r="C689" s="62" t="s">
        <v>65</v>
      </c>
      <c r="D689" s="62" t="s">
        <v>811</v>
      </c>
      <c r="E689" s="123">
        <v>1982</v>
      </c>
      <c r="F689" s="123">
        <v>2013</v>
      </c>
      <c r="G689" s="123" t="s">
        <v>43</v>
      </c>
      <c r="H689" s="123">
        <v>5</v>
      </c>
      <c r="I689" s="123">
        <v>4</v>
      </c>
      <c r="J689" s="64">
        <v>3426.4</v>
      </c>
      <c r="K689" s="64">
        <v>2421.6999999999998</v>
      </c>
      <c r="L689" s="64">
        <v>483.1</v>
      </c>
      <c r="M689" s="124">
        <v>77</v>
      </c>
      <c r="N689" s="95">
        <f>+P689+Q689+R689+S689+T689</f>
        <v>3592563.7737581315</v>
      </c>
      <c r="O689" s="64"/>
      <c r="P689" s="65"/>
      <c r="Q689" s="65"/>
      <c r="R689" s="65">
        <f>+AQ689+AR689</f>
        <v>1654968.55</v>
      </c>
      <c r="S689" s="65">
        <f>+'Приложение №2'!E698-'Приложение №1'!R689</f>
        <v>1937595.2237581315</v>
      </c>
      <c r="T689" s="65">
        <v>0</v>
      </c>
      <c r="U689" s="64">
        <f>$N689/($K689+$L689)</f>
        <v>1236.7680300737165</v>
      </c>
      <c r="V689" s="64">
        <f>$N689/($K689+$L689)</f>
        <v>1236.7680300737165</v>
      </c>
      <c r="W689" s="126">
        <v>2024</v>
      </c>
      <c r="X689" s="127" t="e">
        <f>+#REF!-'[1]Приложение №1'!$P790</f>
        <v>#REF!</v>
      </c>
      <c r="Z689" s="63">
        <f>SUM(AA689:AO689)</f>
        <v>3753836.1733766408</v>
      </c>
      <c r="AA689" s="64">
        <v>0</v>
      </c>
      <c r="AB689" s="64">
        <v>0</v>
      </c>
      <c r="AC689" s="64">
        <v>3269418.6305470788</v>
      </c>
      <c r="AD689" s="64">
        <v>0</v>
      </c>
      <c r="AE689" s="64">
        <v>0</v>
      </c>
      <c r="AF689" s="64"/>
      <c r="AG689" s="64">
        <v>0</v>
      </c>
      <c r="AH689" s="64">
        <v>0</v>
      </c>
      <c r="AI689" s="64">
        <v>0</v>
      </c>
      <c r="AJ689" s="64">
        <v>0</v>
      </c>
      <c r="AK689" s="64">
        <v>0</v>
      </c>
      <c r="AL689" s="64">
        <v>0</v>
      </c>
      <c r="AM689" s="64">
        <v>375383.61733766412</v>
      </c>
      <c r="AN689" s="65">
        <v>37538.361733766411</v>
      </c>
      <c r="AO689" s="66">
        <v>71495.56375813151</v>
      </c>
      <c r="AP689" s="128">
        <f>+N689-'Приложение №2'!E698</f>
        <v>0</v>
      </c>
      <c r="AQ689" s="23">
        <v>1309402.75</v>
      </c>
      <c r="AR689" s="25">
        <f>+(K689*10+L689*20)*12*0.85</f>
        <v>345565.8</v>
      </c>
      <c r="AS689" s="25">
        <f>+(K689*10+L689*20)*12*30</f>
        <v>12196440</v>
      </c>
      <c r="AT689" s="127">
        <f>+S689-AS689</f>
        <v>-10258844.776241869</v>
      </c>
      <c r="AU689" s="127">
        <f>+P689-'[6]Приложение №1'!$P361</f>
        <v>0</v>
      </c>
      <c r="AV689" s="127">
        <f>+Q689-'[6]Приложение №1'!$Q361</f>
        <v>0</v>
      </c>
      <c r="AW689" s="63">
        <f>SUBTOTAL(9,AX689:BL689)</f>
        <v>3592563.7737581315</v>
      </c>
      <c r="AX689" s="64">
        <v>0</v>
      </c>
      <c r="AY689" s="64">
        <v>0</v>
      </c>
      <c r="AZ689" s="64">
        <v>3521068.21</v>
      </c>
      <c r="BA689" s="64">
        <v>0</v>
      </c>
      <c r="BB689" s="64">
        <v>0</v>
      </c>
      <c r="BC689" s="64"/>
      <c r="BD689" s="64"/>
      <c r="BE689" s="64">
        <v>0</v>
      </c>
      <c r="BF689" s="64">
        <v>0</v>
      </c>
      <c r="BG689" s="64">
        <v>0</v>
      </c>
      <c r="BH689" s="64">
        <v>0</v>
      </c>
      <c r="BI689" s="64">
        <v>0</v>
      </c>
      <c r="BJ689" s="64"/>
      <c r="BK689" s="65"/>
      <c r="BL689" s="66">
        <v>71495.56375813151</v>
      </c>
    </row>
    <row r="690" spans="1:64" x14ac:dyDescent="0.25">
      <c r="A690" s="141">
        <f t="shared" si="463"/>
        <v>671</v>
      </c>
      <c r="B690" s="142">
        <f t="shared" si="464"/>
        <v>213</v>
      </c>
      <c r="C690" s="62" t="s">
        <v>65</v>
      </c>
      <c r="D690" s="62" t="s">
        <v>219</v>
      </c>
      <c r="E690" s="123">
        <v>1974</v>
      </c>
      <c r="F690" s="123">
        <v>2013</v>
      </c>
      <c r="G690" s="123" t="s">
        <v>43</v>
      </c>
      <c r="H690" s="123">
        <v>4</v>
      </c>
      <c r="I690" s="123">
        <v>3</v>
      </c>
      <c r="J690" s="64">
        <v>2238.1999999999998</v>
      </c>
      <c r="K690" s="64">
        <v>2068.4499999999998</v>
      </c>
      <c r="L690" s="64">
        <v>0</v>
      </c>
      <c r="M690" s="124">
        <v>74</v>
      </c>
      <c r="N690" s="95">
        <f>+P690+Q690+R690+S690+T690</f>
        <v>3127146.275568313</v>
      </c>
      <c r="O690" s="64"/>
      <c r="P690" s="65"/>
      <c r="Q690" s="65"/>
      <c r="R690" s="65">
        <f>+AQ690+AR690</f>
        <v>841384.12</v>
      </c>
      <c r="S690" s="65">
        <f>+'Приложение №2'!E699-'Приложение №1'!R690</f>
        <v>2285762.1555683129</v>
      </c>
      <c r="T690" s="65">
        <v>0</v>
      </c>
      <c r="U690" s="64">
        <f>$N690/($K690+$L690)</f>
        <v>1511.8307310151627</v>
      </c>
      <c r="V690" s="64">
        <f>$N690/($K690+$L690)</f>
        <v>1511.8307310151627</v>
      </c>
      <c r="W690" s="126">
        <v>2024</v>
      </c>
      <c r="X690" s="127" t="e">
        <f>+#REF!-'[1]Приложение №1'!$P1158</f>
        <v>#REF!</v>
      </c>
      <c r="Z690" s="63">
        <f>SUM(AA690:AO690)</f>
        <v>3125330.0203881604</v>
      </c>
      <c r="AA690" s="64">
        <v>0</v>
      </c>
      <c r="AB690" s="64">
        <v>0</v>
      </c>
      <c r="AC690" s="64">
        <v>2722018.6825771499</v>
      </c>
      <c r="AD690" s="64">
        <v>0</v>
      </c>
      <c r="AE690" s="64">
        <v>0</v>
      </c>
      <c r="AF690" s="64"/>
      <c r="AG690" s="64">
        <v>0</v>
      </c>
      <c r="AH690" s="64">
        <v>0</v>
      </c>
      <c r="AI690" s="64">
        <v>0</v>
      </c>
      <c r="AJ690" s="64">
        <v>0</v>
      </c>
      <c r="AK690" s="64">
        <v>0</v>
      </c>
      <c r="AL690" s="64">
        <v>0</v>
      </c>
      <c r="AM690" s="64">
        <v>312533.00203881605</v>
      </c>
      <c r="AN690" s="65">
        <v>31253.300203881605</v>
      </c>
      <c r="AO690" s="66">
        <v>59525.035568312909</v>
      </c>
      <c r="AP690" s="128">
        <f>+N690-'Приложение №2'!E699</f>
        <v>0</v>
      </c>
      <c r="AQ690" s="23">
        <v>630402.22</v>
      </c>
      <c r="AR690" s="25">
        <f>+(K690*10+L690*20)*12*0.85</f>
        <v>210981.9</v>
      </c>
      <c r="AS690" s="25">
        <f>+(K690*10+L690*20)*12*30</f>
        <v>7446420</v>
      </c>
      <c r="AT690" s="127">
        <f>+S690-AS690</f>
        <v>-5160657.8444316871</v>
      </c>
      <c r="AU690" s="127">
        <f>+P690-'[6]Приложение №1'!$P362</f>
        <v>0</v>
      </c>
      <c r="AV690" s="127">
        <f>+Q690-'[6]Приложение №1'!$Q362</f>
        <v>0</v>
      </c>
      <c r="AW690" s="63">
        <f>SUBTOTAL(9,AX690:BL690)</f>
        <v>3127146.275568313</v>
      </c>
      <c r="AX690" s="64">
        <v>0</v>
      </c>
      <c r="AY690" s="64">
        <v>0</v>
      </c>
      <c r="AZ690" s="64">
        <v>3067621.24</v>
      </c>
      <c r="BA690" s="64">
        <v>0</v>
      </c>
      <c r="BB690" s="64">
        <v>0</v>
      </c>
      <c r="BC690" s="64"/>
      <c r="BD690" s="64"/>
      <c r="BE690" s="64">
        <v>0</v>
      </c>
      <c r="BF690" s="64">
        <v>0</v>
      </c>
      <c r="BG690" s="64">
        <v>0</v>
      </c>
      <c r="BH690" s="64">
        <v>0</v>
      </c>
      <c r="BI690" s="64">
        <v>0</v>
      </c>
      <c r="BJ690" s="64"/>
      <c r="BK690" s="65"/>
      <c r="BL690" s="66">
        <v>59525.035568312909</v>
      </c>
    </row>
    <row r="691" spans="1:64" x14ac:dyDescent="0.25">
      <c r="A691" s="141">
        <f t="shared" si="463"/>
        <v>672</v>
      </c>
      <c r="B691" s="142">
        <f t="shared" si="464"/>
        <v>214</v>
      </c>
      <c r="C691" s="62" t="s">
        <v>56</v>
      </c>
      <c r="D691" s="62" t="s">
        <v>974</v>
      </c>
      <c r="E691" s="123" t="s">
        <v>975</v>
      </c>
      <c r="F691" s="123"/>
      <c r="G691" s="123" t="s">
        <v>43</v>
      </c>
      <c r="H691" s="123" t="s">
        <v>105</v>
      </c>
      <c r="I691" s="123" t="s">
        <v>98</v>
      </c>
      <c r="J691" s="64">
        <v>2391.4</v>
      </c>
      <c r="K691" s="64">
        <v>1852</v>
      </c>
      <c r="L691" s="64">
        <v>0</v>
      </c>
      <c r="M691" s="124">
        <v>60</v>
      </c>
      <c r="N691" s="63">
        <f t="shared" si="442"/>
        <v>8070837.2089538341</v>
      </c>
      <c r="O691" s="64"/>
      <c r="P691" s="65"/>
      <c r="Q691" s="65">
        <v>1000000</v>
      </c>
      <c r="R691" s="65">
        <f t="shared" si="466"/>
        <v>1216932.5900000001</v>
      </c>
      <c r="S691" s="65">
        <f>+'Приложение №2'!E700-'Приложение №1'!Q691-'Приложение №1'!R691</f>
        <v>5853904.6189538343</v>
      </c>
      <c r="T691" s="65"/>
      <c r="U691" s="64">
        <f t="shared" ref="U691:V692" si="479">$N691/($K691+$L691)</f>
        <v>4357.9034605582256</v>
      </c>
      <c r="V691" s="64">
        <f t="shared" si="479"/>
        <v>4357.9034605582256</v>
      </c>
      <c r="W691" s="126">
        <v>2024</v>
      </c>
      <c r="X691" s="127"/>
      <c r="Z691" s="63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  <c r="AL691" s="64"/>
      <c r="AM691" s="64"/>
      <c r="AN691" s="65"/>
      <c r="AO691" s="66"/>
      <c r="AP691" s="128">
        <f>+N691-'Приложение №2'!E700</f>
        <v>0</v>
      </c>
      <c r="AQ691" s="41">
        <v>1018583.39</v>
      </c>
      <c r="AR691" s="25">
        <f t="shared" ref="AR691" si="480">+(K691*10.5+L691*21)*12*0.85</f>
        <v>198349.19999999998</v>
      </c>
      <c r="AS691" s="25">
        <f>+(K691*10.5+L691*21)*12*30</f>
        <v>7000560</v>
      </c>
      <c r="AT691" s="127"/>
      <c r="AU691" s="127"/>
      <c r="AV691" s="127"/>
      <c r="AW691" s="88">
        <f t="shared" ref="AW691:AW789" si="481">SUBTOTAL(9,AX691:BL691)</f>
        <v>8070837.2089538341</v>
      </c>
      <c r="AX691" s="64">
        <v>7187290.3763408214</v>
      </c>
      <c r="AY691" s="64"/>
      <c r="AZ691" s="64"/>
      <c r="BA691" s="64"/>
      <c r="BB691" s="64"/>
      <c r="BC691" s="64"/>
      <c r="BD691" s="64"/>
      <c r="BE691" s="64"/>
      <c r="BF691" s="64"/>
      <c r="BG691" s="64"/>
      <c r="BH691" s="64"/>
      <c r="BI691" s="64"/>
      <c r="BJ691" s="64">
        <v>645666.97671630676</v>
      </c>
      <c r="BK691" s="65">
        <v>80708.372089538345</v>
      </c>
      <c r="BL691" s="66">
        <v>157171.48380716695</v>
      </c>
    </row>
    <row r="692" spans="1:64" x14ac:dyDescent="0.25">
      <c r="A692" s="141">
        <f t="shared" si="463"/>
        <v>673</v>
      </c>
      <c r="B692" s="142">
        <f t="shared" si="464"/>
        <v>215</v>
      </c>
      <c r="C692" s="62" t="s">
        <v>56</v>
      </c>
      <c r="D692" s="62" t="s">
        <v>221</v>
      </c>
      <c r="E692" s="123">
        <v>1974</v>
      </c>
      <c r="F692" s="123">
        <v>1974</v>
      </c>
      <c r="G692" s="123" t="s">
        <v>43</v>
      </c>
      <c r="H692" s="123">
        <v>2</v>
      </c>
      <c r="I692" s="123">
        <v>2</v>
      </c>
      <c r="J692" s="64">
        <v>473.3</v>
      </c>
      <c r="K692" s="64">
        <v>438.4</v>
      </c>
      <c r="L692" s="64">
        <v>0</v>
      </c>
      <c r="M692" s="124">
        <v>9</v>
      </c>
      <c r="N692" s="95">
        <f>+P692+Q692+R692+S692+T692</f>
        <v>1422083.6099999999</v>
      </c>
      <c r="O692" s="64"/>
      <c r="P692" s="65">
        <v>707152.37000000011</v>
      </c>
      <c r="Q692" s="65"/>
      <c r="R692" s="65">
        <f>+AQ692+AR692-101353.8</f>
        <v>34758.819999999992</v>
      </c>
      <c r="S692" s="65">
        <f>+AS692</f>
        <v>677581.02</v>
      </c>
      <c r="T692" s="65">
        <f>+'Приложение №2'!E701-'Приложение №1'!P692-'Приложение №1'!Q692-'Приложение №1'!R692-'Приложение №1'!S692</f>
        <v>2591.4000000000233</v>
      </c>
      <c r="U692" s="64">
        <f t="shared" si="479"/>
        <v>3243.8038549270073</v>
      </c>
      <c r="V692" s="64">
        <f t="shared" si="479"/>
        <v>3243.8038549270073</v>
      </c>
      <c r="W692" s="126">
        <v>2024</v>
      </c>
      <c r="X692" s="127" t="e">
        <f>+#REF!-'[1]Приложение №1'!$P1765</f>
        <v>#REF!</v>
      </c>
      <c r="Z692" s="63">
        <f>SUM(AA692:AO692)</f>
        <v>1576901.3985240001</v>
      </c>
      <c r="AA692" s="64"/>
      <c r="AB692" s="64"/>
      <c r="AC692" s="64">
        <v>758098.38</v>
      </c>
      <c r="AD692" s="64">
        <v>627792.72</v>
      </c>
      <c r="AE692" s="64">
        <v>0</v>
      </c>
      <c r="AF692" s="64"/>
      <c r="AG692" s="64">
        <v>154817.788524</v>
      </c>
      <c r="AH692" s="64">
        <v>0</v>
      </c>
      <c r="AI692" s="64"/>
      <c r="AJ692" s="64">
        <v>0</v>
      </c>
      <c r="AK692" s="64">
        <v>0</v>
      </c>
      <c r="AL692" s="64">
        <v>0</v>
      </c>
      <c r="AO692" s="66">
        <v>36192.51</v>
      </c>
      <c r="AP692" s="128">
        <f>+N692-'Приложение №2'!E701</f>
        <v>0</v>
      </c>
      <c r="AQ692" s="23">
        <v>91395.82</v>
      </c>
      <c r="AR692" s="25">
        <f>+(K692*10+L692*20)*12*0.85</f>
        <v>44716.799999999996</v>
      </c>
      <c r="AS692" s="25">
        <f>+(K692*10+L692*20)*12*30-900658.98</f>
        <v>677581.02</v>
      </c>
      <c r="AT692" s="127">
        <f>+S692-AS692</f>
        <v>0</v>
      </c>
      <c r="AU692" s="127">
        <f>+P692-'[6]Приложение №1'!$P364</f>
        <v>0</v>
      </c>
      <c r="AV692" s="127">
        <f>+Q692-'[6]Приложение №1'!$Q364</f>
        <v>0</v>
      </c>
      <c r="AW692" s="63">
        <f>SUBTOTAL(9,AX692:BL692)</f>
        <v>1422083.61</v>
      </c>
      <c r="AX692" s="64"/>
      <c r="AY692" s="64"/>
      <c r="AZ692" s="64">
        <v>758098.38</v>
      </c>
      <c r="BA692" s="64">
        <v>627792.72</v>
      </c>
      <c r="BB692" s="64">
        <v>0</v>
      </c>
      <c r="BC692" s="64"/>
      <c r="BD692" s="64"/>
      <c r="BE692" s="64">
        <v>0</v>
      </c>
      <c r="BF692" s="64"/>
      <c r="BG692" s="64">
        <v>0</v>
      </c>
      <c r="BH692" s="64">
        <v>0</v>
      </c>
      <c r="BI692" s="64">
        <v>0</v>
      </c>
      <c r="BJ692" s="71"/>
      <c r="BK692" s="71"/>
      <c r="BL692" s="66">
        <v>36192.51</v>
      </c>
    </row>
    <row r="693" spans="1:64" x14ac:dyDescent="0.25">
      <c r="A693" s="141">
        <f t="shared" si="463"/>
        <v>674</v>
      </c>
      <c r="B693" s="142">
        <f t="shared" si="464"/>
        <v>216</v>
      </c>
      <c r="C693" s="62" t="s">
        <v>45</v>
      </c>
      <c r="D693" s="62" t="s">
        <v>819</v>
      </c>
      <c r="E693" s="123">
        <v>1973</v>
      </c>
      <c r="F693" s="123">
        <v>1973</v>
      </c>
      <c r="G693" s="123" t="s">
        <v>43</v>
      </c>
      <c r="H693" s="123">
        <v>4</v>
      </c>
      <c r="I693" s="123">
        <v>3</v>
      </c>
      <c r="J693" s="64">
        <v>1399</v>
      </c>
      <c r="K693" s="64">
        <v>1081.5999999999999</v>
      </c>
      <c r="L693" s="64">
        <v>197.9</v>
      </c>
      <c r="M693" s="124">
        <v>41</v>
      </c>
      <c r="N693" s="63">
        <f t="shared" si="442"/>
        <v>1760606.3303999999</v>
      </c>
      <c r="O693" s="64"/>
      <c r="P693" s="65"/>
      <c r="Q693" s="65"/>
      <c r="R693" s="65">
        <f t="shared" si="466"/>
        <v>402664.43999999994</v>
      </c>
      <c r="S693" s="65">
        <f>+'Приложение №2'!E702-'Приложение №1'!R693</f>
        <v>1357941.8903999999</v>
      </c>
      <c r="T693" s="65">
        <v>0</v>
      </c>
      <c r="U693" s="65">
        <f t="shared" si="462"/>
        <v>1627.7795214497041</v>
      </c>
      <c r="V693" s="65">
        <v>1361.2830200640001</v>
      </c>
      <c r="W693" s="126">
        <v>2024</v>
      </c>
      <c r="X693" s="127" t="e">
        <f>+#REF!-'[1]Приложение №1'!$P474</f>
        <v>#REF!</v>
      </c>
      <c r="Z693" s="63">
        <f t="shared" si="441"/>
        <v>7079219.7999999998</v>
      </c>
      <c r="AA693" s="64">
        <v>3593692.2573879599</v>
      </c>
      <c r="AB693" s="64">
        <v>1296470.75263692</v>
      </c>
      <c r="AC693" s="64">
        <v>1354494.0390794401</v>
      </c>
      <c r="AD693" s="64">
        <v>0</v>
      </c>
      <c r="AE693" s="64">
        <v>0</v>
      </c>
      <c r="AF693" s="64"/>
      <c r="AG693" s="64">
        <v>0</v>
      </c>
      <c r="AH693" s="64">
        <v>0</v>
      </c>
      <c r="AI693" s="64">
        <v>0</v>
      </c>
      <c r="AJ693" s="64">
        <v>0</v>
      </c>
      <c r="AK693" s="64">
        <v>0</v>
      </c>
      <c r="AL693" s="64">
        <v>0</v>
      </c>
      <c r="AM693" s="64">
        <v>627212.55079999997</v>
      </c>
      <c r="AN693" s="65">
        <v>70792.198000000004</v>
      </c>
      <c r="AO693" s="66">
        <v>136558.00209567999</v>
      </c>
      <c r="AP693" s="128">
        <f>+N693-'Приложение №2'!E702</f>
        <v>0</v>
      </c>
      <c r="AQ693" s="127">
        <f>569860.72-R149</f>
        <v>244434.89999999997</v>
      </c>
      <c r="AR693" s="25">
        <f t="shared" si="453"/>
        <v>158229.54</v>
      </c>
      <c r="AS693" s="25">
        <f>+(K693*10.5+L693*21)*12*30-S149</f>
        <v>3828969.6700000009</v>
      </c>
      <c r="AT693" s="127">
        <f t="shared" si="465"/>
        <v>-2471027.7796000009</v>
      </c>
      <c r="AU693" s="127">
        <f>+P693-'[6]Приложение №1'!$P641</f>
        <v>0</v>
      </c>
      <c r="AV693" s="127">
        <f>+Q693-'[6]Приложение №1'!$Q641</f>
        <v>0</v>
      </c>
      <c r="AW693" s="88">
        <f t="shared" si="481"/>
        <v>1760606.3303999999</v>
      </c>
      <c r="AX693" s="64"/>
      <c r="AY693" s="64"/>
      <c r="AZ693" s="64">
        <v>1722929.35492944</v>
      </c>
      <c r="BA693" s="64">
        <v>0</v>
      </c>
      <c r="BB693" s="64">
        <v>0</v>
      </c>
      <c r="BC693" s="64"/>
      <c r="BD693" s="64"/>
      <c r="BE693" s="64">
        <v>0</v>
      </c>
      <c r="BF693" s="64">
        <v>0</v>
      </c>
      <c r="BG693" s="64">
        <v>0</v>
      </c>
      <c r="BH693" s="64">
        <v>0</v>
      </c>
      <c r="BI693" s="64">
        <v>0</v>
      </c>
      <c r="BJ693" s="64"/>
      <c r="BK693" s="65"/>
      <c r="BL693" s="66">
        <v>37676.975470559999</v>
      </c>
    </row>
    <row r="694" spans="1:64" x14ac:dyDescent="0.25">
      <c r="A694" s="141">
        <f t="shared" si="463"/>
        <v>675</v>
      </c>
      <c r="B694" s="142">
        <f t="shared" si="464"/>
        <v>217</v>
      </c>
      <c r="C694" s="62" t="s">
        <v>45</v>
      </c>
      <c r="D694" s="62" t="s">
        <v>820</v>
      </c>
      <c r="E694" s="123">
        <v>1972</v>
      </c>
      <c r="F694" s="123">
        <v>2013</v>
      </c>
      <c r="G694" s="123" t="s">
        <v>43</v>
      </c>
      <c r="H694" s="123">
        <v>4</v>
      </c>
      <c r="I694" s="123">
        <v>3</v>
      </c>
      <c r="J694" s="64">
        <v>1348.9</v>
      </c>
      <c r="K694" s="64">
        <v>1047.4000000000001</v>
      </c>
      <c r="L694" s="64">
        <v>182.5</v>
      </c>
      <c r="M694" s="124">
        <v>50</v>
      </c>
      <c r="N694" s="63">
        <f t="shared" si="442"/>
        <v>2419751.5570574589</v>
      </c>
      <c r="O694" s="64"/>
      <c r="P694" s="65"/>
      <c r="Q694" s="65"/>
      <c r="R694" s="65">
        <f t="shared" si="466"/>
        <v>0</v>
      </c>
      <c r="S694" s="65">
        <f>+'Приложение №2'!E703-'Приложение №1'!R694</f>
        <v>2419751.5570574589</v>
      </c>
      <c r="T694" s="65">
        <v>0</v>
      </c>
      <c r="U694" s="65">
        <f t="shared" si="462"/>
        <v>2310.2459013342168</v>
      </c>
      <c r="V694" s="65">
        <v>1362.2830200640001</v>
      </c>
      <c r="W694" s="126">
        <v>2024</v>
      </c>
      <c r="X694" s="127" t="e">
        <f>+#REF!-'[1]Приложение №1'!$P1167</f>
        <v>#REF!</v>
      </c>
      <c r="Z694" s="63">
        <f t="shared" si="441"/>
        <v>6001891.9499999993</v>
      </c>
      <c r="AA694" s="64">
        <v>0</v>
      </c>
      <c r="AB694" s="64">
        <v>0</v>
      </c>
      <c r="AC694" s="64">
        <v>1189999.01255088</v>
      </c>
      <c r="AD694" s="64">
        <v>0</v>
      </c>
      <c r="AE694" s="64">
        <v>0</v>
      </c>
      <c r="AF694" s="64"/>
      <c r="AG694" s="64">
        <v>0</v>
      </c>
      <c r="AH694" s="64">
        <v>0</v>
      </c>
      <c r="AI694" s="64">
        <v>0</v>
      </c>
      <c r="AJ694" s="64">
        <v>764864.79162029992</v>
      </c>
      <c r="AK694" s="64">
        <v>0</v>
      </c>
      <c r="AL694" s="64">
        <v>3272507.9972491194</v>
      </c>
      <c r="AM694" s="64">
        <v>600189.19499999995</v>
      </c>
      <c r="AN694" s="65">
        <v>60018.919499999996</v>
      </c>
      <c r="AO694" s="66">
        <v>114312.03407969998</v>
      </c>
      <c r="AP694" s="128">
        <f>+N694-'Приложение №2'!E703</f>
        <v>0</v>
      </c>
      <c r="AQ694" s="38">
        <f>655483.31-R408</f>
        <v>-151268.04000000004</v>
      </c>
      <c r="AR694" s="25">
        <f t="shared" si="453"/>
        <v>151268.04</v>
      </c>
      <c r="AS694" s="25">
        <f>+(K694*10.5+L694*21)*12*30-S408</f>
        <v>2752754.9940561322</v>
      </c>
      <c r="AT694" s="127">
        <f t="shared" si="465"/>
        <v>-333003.43699867325</v>
      </c>
      <c r="AU694" s="127">
        <f>+P694-'[6]Приложение №1'!$P642</f>
        <v>0</v>
      </c>
      <c r="AV694" s="127">
        <f>+Q694-'[6]Приложение №1'!$Q642</f>
        <v>0</v>
      </c>
      <c r="AW694" s="88">
        <f t="shared" si="481"/>
        <v>2419751.5570574589</v>
      </c>
      <c r="AX694" s="64">
        <v>0</v>
      </c>
      <c r="AY694" s="64">
        <v>0</v>
      </c>
      <c r="AZ694" s="64">
        <v>1257942.74</v>
      </c>
      <c r="BA694" s="64">
        <v>0</v>
      </c>
      <c r="BB694" s="64">
        <v>0</v>
      </c>
      <c r="BC694" s="64"/>
      <c r="BD694" s="64"/>
      <c r="BE694" s="64">
        <v>0</v>
      </c>
      <c r="BF694" s="64">
        <v>0</v>
      </c>
      <c r="BG694" s="64">
        <v>1041448.4583627094</v>
      </c>
      <c r="BH694" s="64">
        <v>0</v>
      </c>
      <c r="BI694" s="64"/>
      <c r="BJ694" s="64"/>
      <c r="BK694" s="65"/>
      <c r="BL694" s="66">
        <v>120360.35869474964</v>
      </c>
    </row>
    <row r="695" spans="1:64" x14ac:dyDescent="0.25">
      <c r="A695" s="141">
        <f t="shared" si="463"/>
        <v>676</v>
      </c>
      <c r="B695" s="142">
        <f t="shared" si="464"/>
        <v>218</v>
      </c>
      <c r="C695" s="62" t="s">
        <v>45</v>
      </c>
      <c r="D695" s="62" t="s">
        <v>821</v>
      </c>
      <c r="E695" s="123">
        <v>1972</v>
      </c>
      <c r="F695" s="123">
        <v>2013</v>
      </c>
      <c r="G695" s="123" t="s">
        <v>43</v>
      </c>
      <c r="H695" s="123">
        <v>4</v>
      </c>
      <c r="I695" s="123">
        <v>1</v>
      </c>
      <c r="J695" s="64">
        <v>1401</v>
      </c>
      <c r="K695" s="64">
        <v>1155.5999999999999</v>
      </c>
      <c r="L695" s="64">
        <v>81.099999999999994</v>
      </c>
      <c r="M695" s="124">
        <v>60</v>
      </c>
      <c r="N695" s="63">
        <f t="shared" si="442"/>
        <v>6239399.4557414409</v>
      </c>
      <c r="O695" s="64"/>
      <c r="P695" s="65">
        <v>666884.95870000031</v>
      </c>
      <c r="Q695" s="65"/>
      <c r="R695" s="65">
        <f t="shared" si="466"/>
        <v>778877.5</v>
      </c>
      <c r="S695" s="65">
        <f>+'Приложение №2'!E704-'Приложение №1'!P695-'Приложение №1'!R695</f>
        <v>4793636.9970414406</v>
      </c>
      <c r="T695" s="65">
        <v>0</v>
      </c>
      <c r="U695" s="65">
        <f t="shared" si="462"/>
        <v>5399.2726339057126</v>
      </c>
      <c r="V695" s="65">
        <v>1363.2830200640001</v>
      </c>
      <c r="W695" s="126">
        <v>2024</v>
      </c>
      <c r="X695" s="127" t="e">
        <f>+#REF!-'[1]Приложение №1'!$P1168</f>
        <v>#REF!</v>
      </c>
      <c r="Z695" s="63">
        <f t="shared" si="441"/>
        <v>6803706.830000001</v>
      </c>
      <c r="AA695" s="64">
        <v>0</v>
      </c>
      <c r="AB695" s="64">
        <v>0</v>
      </c>
      <c r="AC695" s="64">
        <v>1348975.3697015401</v>
      </c>
      <c r="AD695" s="64">
        <v>0</v>
      </c>
      <c r="AE695" s="64">
        <v>0</v>
      </c>
      <c r="AF695" s="64"/>
      <c r="AG695" s="64">
        <v>0</v>
      </c>
      <c r="AH695" s="64">
        <v>0</v>
      </c>
      <c r="AI695" s="64">
        <v>0</v>
      </c>
      <c r="AJ695" s="64">
        <v>867045.8987589</v>
      </c>
      <c r="AK695" s="64">
        <v>0</v>
      </c>
      <c r="AL695" s="64">
        <v>3709694.4099553796</v>
      </c>
      <c r="AM695" s="64">
        <v>680370.68299999996</v>
      </c>
      <c r="AN695" s="65">
        <v>68037.068299999999</v>
      </c>
      <c r="AO695" s="66">
        <v>129583.40028418</v>
      </c>
      <c r="AP695" s="128">
        <f>+N695-'Приложение №2'!E704</f>
        <v>0</v>
      </c>
      <c r="AQ695" s="38">
        <v>637741.12</v>
      </c>
      <c r="AR695" s="25">
        <f t="shared" si="453"/>
        <v>141136.37999999998</v>
      </c>
      <c r="AS695" s="25">
        <f>+(K695*10.5+L695*21)*12*30</f>
        <v>4981284</v>
      </c>
      <c r="AT695" s="127">
        <f t="shared" si="465"/>
        <v>-187647.00295855943</v>
      </c>
      <c r="AU695" s="127">
        <f>+P695-'[6]Приложение №1'!$P643</f>
        <v>0</v>
      </c>
      <c r="AV695" s="127">
        <f>+Q695-'[6]Приложение №1'!$Q643</f>
        <v>0</v>
      </c>
      <c r="AW695" s="88">
        <f t="shared" si="481"/>
        <v>6239399.4557414409</v>
      </c>
      <c r="AX695" s="64">
        <v>0</v>
      </c>
      <c r="AY695" s="64">
        <v>0</v>
      </c>
      <c r="AZ695" s="64">
        <v>1348975.3697015401</v>
      </c>
      <c r="BA695" s="64">
        <v>0</v>
      </c>
      <c r="BB695" s="64">
        <v>0</v>
      </c>
      <c r="BC695" s="64"/>
      <c r="BD695" s="64"/>
      <c r="BE695" s="64">
        <v>0</v>
      </c>
      <c r="BF695" s="64">
        <v>0</v>
      </c>
      <c r="BG695" s="64">
        <v>1047206.5277316548</v>
      </c>
      <c r="BH695" s="64">
        <v>0</v>
      </c>
      <c r="BI695" s="64">
        <v>3709694.4099553796</v>
      </c>
      <c r="BJ695" s="64"/>
      <c r="BK695" s="65"/>
      <c r="BL695" s="66">
        <v>133523.14835286685</v>
      </c>
    </row>
    <row r="696" spans="1:64" x14ac:dyDescent="0.25">
      <c r="A696" s="141">
        <f t="shared" si="463"/>
        <v>677</v>
      </c>
      <c r="B696" s="142">
        <f t="shared" si="464"/>
        <v>219</v>
      </c>
      <c r="C696" s="62" t="s">
        <v>45</v>
      </c>
      <c r="D696" s="62" t="s">
        <v>822</v>
      </c>
      <c r="E696" s="123">
        <v>1970</v>
      </c>
      <c r="F696" s="123">
        <v>1970</v>
      </c>
      <c r="G696" s="123" t="s">
        <v>43</v>
      </c>
      <c r="H696" s="123">
        <v>4</v>
      </c>
      <c r="I696" s="123">
        <v>1</v>
      </c>
      <c r="J696" s="64">
        <v>1343.6</v>
      </c>
      <c r="K696" s="64">
        <v>929.1</v>
      </c>
      <c r="L696" s="64">
        <v>317.89999999999998</v>
      </c>
      <c r="M696" s="124">
        <v>43</v>
      </c>
      <c r="N696" s="63">
        <f t="shared" si="442"/>
        <v>1422052.0302640332</v>
      </c>
      <c r="O696" s="64"/>
      <c r="P696" s="65">
        <f>+'Приложение №2'!E705-'Приложение №1'!R696</f>
        <v>1254451.2402640332</v>
      </c>
      <c r="Q696" s="65"/>
      <c r="R696" s="65">
        <f>+AR696</f>
        <v>167600.79</v>
      </c>
      <c r="S696" s="65">
        <f t="shared" ref="S696:S712" si="482">+AS696</f>
        <v>0</v>
      </c>
      <c r="T696" s="65">
        <f>+'Приложение №2'!E705-'Приложение №1'!P696-'Приложение №1'!R696-'Приложение №1'!S696</f>
        <v>2.9103830456733704E-11</v>
      </c>
      <c r="U696" s="65">
        <f t="shared" si="462"/>
        <v>1530.5694007792845</v>
      </c>
      <c r="V696" s="65">
        <v>1364.2830200640001</v>
      </c>
      <c r="W696" s="126">
        <v>2024</v>
      </c>
      <c r="X696" s="127" t="e">
        <f>+#REF!-'[1]Приложение №1'!$P1170</f>
        <v>#REF!</v>
      </c>
      <c r="Z696" s="63">
        <f t="shared" si="441"/>
        <v>19642322.439999998</v>
      </c>
      <c r="AA696" s="64">
        <v>2821780.5180419399</v>
      </c>
      <c r="AB696" s="64">
        <v>1017993.6538753798</v>
      </c>
      <c r="AC696" s="64">
        <v>1063553.7540591599</v>
      </c>
      <c r="AD696" s="64">
        <v>665875.47655355989</v>
      </c>
      <c r="AE696" s="64">
        <v>0</v>
      </c>
      <c r="AF696" s="64"/>
      <c r="AG696" s="64">
        <v>101809.49181312</v>
      </c>
      <c r="AH696" s="64">
        <v>0</v>
      </c>
      <c r="AI696" s="64">
        <v>5222681.4190823995</v>
      </c>
      <c r="AJ696" s="64">
        <v>683592.85135050002</v>
      </c>
      <c r="AK696" s="64">
        <v>2711658.3273179396</v>
      </c>
      <c r="AL696" s="64">
        <v>2924782.3910923805</v>
      </c>
      <c r="AM696" s="64">
        <v>1855741.9672999999</v>
      </c>
      <c r="AN696" s="65">
        <v>196423.22439999998</v>
      </c>
      <c r="AO696" s="66">
        <v>376429.36511361995</v>
      </c>
      <c r="AP696" s="128">
        <f>+N696-'Приложение №2'!E705</f>
        <v>0</v>
      </c>
      <c r="AQ696" s="38">
        <f>805595.46-R411</f>
        <v>-167600.79000000004</v>
      </c>
      <c r="AR696" s="25">
        <f t="shared" si="453"/>
        <v>167600.79</v>
      </c>
      <c r="AS696" s="25">
        <f>+(K696*10.5+L696*21)*12*30-S411</f>
        <v>0</v>
      </c>
      <c r="AT696" s="127">
        <f t="shared" si="465"/>
        <v>0</v>
      </c>
      <c r="AU696" s="127">
        <f>+P696-'[6]Приложение №1'!$P644</f>
        <v>-67183.338867935352</v>
      </c>
      <c r="AV696" s="127">
        <f>+Q696-'[6]Приложение №1'!$Q644</f>
        <v>0</v>
      </c>
      <c r="AW696" s="88">
        <f t="shared" si="481"/>
        <v>1422052.0302640332</v>
      </c>
      <c r="AX696" s="64"/>
      <c r="AY696" s="64"/>
      <c r="AZ696" s="64"/>
      <c r="BA696" s="64"/>
      <c r="BB696" s="64">
        <v>0</v>
      </c>
      <c r="BC696" s="64"/>
      <c r="BD696" s="64"/>
      <c r="BE696" s="64"/>
      <c r="BF696" s="64"/>
      <c r="BG696" s="64">
        <v>1055928.3092757934</v>
      </c>
      <c r="BH696" s="64">
        <v>0</v>
      </c>
      <c r="BI696" s="64"/>
      <c r="BJ696" s="64"/>
      <c r="BK696" s="65"/>
      <c r="BL696" s="66">
        <v>366123.72098823986</v>
      </c>
    </row>
    <row r="697" spans="1:64" x14ac:dyDescent="0.25">
      <c r="A697" s="141">
        <f t="shared" si="463"/>
        <v>678</v>
      </c>
      <c r="B697" s="142">
        <f t="shared" si="464"/>
        <v>220</v>
      </c>
      <c r="C697" s="62" t="s">
        <v>45</v>
      </c>
      <c r="D697" s="62" t="s">
        <v>823</v>
      </c>
      <c r="E697" s="123">
        <v>1969</v>
      </c>
      <c r="F697" s="123">
        <v>1969</v>
      </c>
      <c r="G697" s="123" t="s">
        <v>43</v>
      </c>
      <c r="H697" s="123">
        <v>4</v>
      </c>
      <c r="I697" s="123">
        <v>4</v>
      </c>
      <c r="J697" s="64">
        <v>1301.0999999999999</v>
      </c>
      <c r="K697" s="64">
        <v>1206.0999999999999</v>
      </c>
      <c r="L697" s="64">
        <v>0</v>
      </c>
      <c r="M697" s="124">
        <v>55</v>
      </c>
      <c r="N697" s="63">
        <f t="shared" si="442"/>
        <v>8162291.240470564</v>
      </c>
      <c r="O697" s="64"/>
      <c r="P697" s="65">
        <v>1920678.6675</v>
      </c>
      <c r="Q697" s="65"/>
      <c r="R697" s="65">
        <f>+AR697</f>
        <v>129173.30999999998</v>
      </c>
      <c r="S697" s="65">
        <f t="shared" si="482"/>
        <v>2964843.4191382891</v>
      </c>
      <c r="T697" s="65">
        <f>+'Приложение №2'!E706-'Приложение №1'!P697-'Приложение №1'!Q697-'Приложение №1'!R697-'Приложение №1'!S697</f>
        <v>3147595.8438322749</v>
      </c>
      <c r="U697" s="65">
        <f t="shared" si="462"/>
        <v>6767.507868726113</v>
      </c>
      <c r="V697" s="65">
        <v>1365.2830200640001</v>
      </c>
      <c r="W697" s="126">
        <v>2024</v>
      </c>
      <c r="X697" s="127" t="e">
        <f>+#REF!-'[1]Приложение №1'!$P1507</f>
        <v>#REF!</v>
      </c>
      <c r="Z697" s="63">
        <f t="shared" ref="Z697:Z713" si="483">SUM(AA697:AO697)</f>
        <v>20711430.510000002</v>
      </c>
      <c r="AA697" s="64">
        <v>3099206.3677902599</v>
      </c>
      <c r="AB697" s="64">
        <v>1118078.6011840198</v>
      </c>
      <c r="AC697" s="64">
        <v>1168117.9829516402</v>
      </c>
      <c r="AD697" s="64">
        <v>731341.61352924001</v>
      </c>
      <c r="AE697" s="64">
        <v>0</v>
      </c>
      <c r="AF697" s="64"/>
      <c r="AG697" s="64">
        <v>111818.98213248001</v>
      </c>
      <c r="AH697" s="64">
        <v>0</v>
      </c>
      <c r="AI697" s="64">
        <v>5736153.9664296005</v>
      </c>
      <c r="AJ697" s="64">
        <v>0</v>
      </c>
      <c r="AK697" s="64">
        <v>2978257.4163942602</v>
      </c>
      <c r="AL697" s="64">
        <v>3212334.9611770199</v>
      </c>
      <c r="AM697" s="64">
        <v>1951986.4567</v>
      </c>
      <c r="AN697" s="65">
        <v>207114.30510000003</v>
      </c>
      <c r="AO697" s="66">
        <v>397019.85661148006</v>
      </c>
      <c r="AP697" s="128">
        <f>+N697-'Приложение №2'!E706</f>
        <v>0</v>
      </c>
      <c r="AQ697" s="127">
        <f>624368.58-R150-R414</f>
        <v>-129173.30999999994</v>
      </c>
      <c r="AR697" s="25">
        <f t="shared" si="453"/>
        <v>129173.30999999998</v>
      </c>
      <c r="AS697" s="25">
        <f>+(K697*10.5+L697*21)*12*30-S150-S414</f>
        <v>2964843.4191382891</v>
      </c>
      <c r="AT697" s="127">
        <f t="shared" si="465"/>
        <v>0</v>
      </c>
      <c r="AU697" s="127">
        <f>+P697-'[6]Приложение №1'!$P645</f>
        <v>0</v>
      </c>
      <c r="AV697" s="127">
        <f>+Q697-'[6]Приложение №1'!$Q645</f>
        <v>0</v>
      </c>
      <c r="AW697" s="88">
        <f t="shared" si="481"/>
        <v>8162291.2404705631</v>
      </c>
      <c r="AX697" s="64"/>
      <c r="AY697" s="64"/>
      <c r="AZ697" s="64">
        <v>1168117.9829516402</v>
      </c>
      <c r="BA697" s="64"/>
      <c r="BB697" s="64"/>
      <c r="BC697" s="64"/>
      <c r="BD697" s="64"/>
      <c r="BE697" s="64">
        <v>0</v>
      </c>
      <c r="BF697" s="64">
        <v>6819500.2249728525</v>
      </c>
      <c r="BG697" s="64">
        <v>0</v>
      </c>
      <c r="BH697" s="64"/>
      <c r="BI697" s="64"/>
      <c r="BJ697" s="64"/>
      <c r="BK697" s="65"/>
      <c r="BL697" s="66">
        <v>174673.03254607006</v>
      </c>
    </row>
    <row r="698" spans="1:64" x14ac:dyDescent="0.25">
      <c r="A698" s="141">
        <f t="shared" si="463"/>
        <v>679</v>
      </c>
      <c r="B698" s="142">
        <f t="shared" si="464"/>
        <v>221</v>
      </c>
      <c r="C698" s="62" t="s">
        <v>45</v>
      </c>
      <c r="D698" s="62" t="s">
        <v>824</v>
      </c>
      <c r="E698" s="123">
        <v>1970</v>
      </c>
      <c r="F698" s="123">
        <v>1970</v>
      </c>
      <c r="G698" s="123" t="s">
        <v>43</v>
      </c>
      <c r="H698" s="123">
        <v>4</v>
      </c>
      <c r="I698" s="123">
        <v>4</v>
      </c>
      <c r="J698" s="64">
        <v>1365.1</v>
      </c>
      <c r="K698" s="64">
        <v>1195.1600000000001</v>
      </c>
      <c r="L698" s="64">
        <v>66.400000000000006</v>
      </c>
      <c r="M698" s="124">
        <v>42</v>
      </c>
      <c r="N698" s="63">
        <f t="shared" ref="N698:N733" si="484">SUM(O698:T698)</f>
        <v>6552225.7929076385</v>
      </c>
      <c r="O698" s="64"/>
      <c r="P698" s="65">
        <v>1460525.3899999997</v>
      </c>
      <c r="Q698" s="65"/>
      <c r="R698" s="65">
        <f>+AR698</f>
        <v>142224.516</v>
      </c>
      <c r="S698" s="65">
        <f t="shared" si="482"/>
        <v>103510.89000000013</v>
      </c>
      <c r="T698" s="65">
        <f>+'Приложение №2'!E707-'Приложение №1'!P698-'Приложение №1'!R698-'Приложение №1'!S698</f>
        <v>4845964.9969076384</v>
      </c>
      <c r="U698" s="65">
        <f t="shared" si="462"/>
        <v>5482.3001045112269</v>
      </c>
      <c r="V698" s="65">
        <v>1366.2830200640001</v>
      </c>
      <c r="W698" s="126">
        <v>2024</v>
      </c>
      <c r="X698" s="127" t="e">
        <f>+#REF!-'[1]Приложение №1'!$P1172</f>
        <v>#REF!</v>
      </c>
      <c r="Z698" s="63">
        <f t="shared" si="483"/>
        <v>20539765.109999996</v>
      </c>
      <c r="AA698" s="64">
        <v>3073518.7891098596</v>
      </c>
      <c r="AB698" s="64">
        <v>1108811.4764332199</v>
      </c>
      <c r="AC698" s="64">
        <v>1158436.1099060399</v>
      </c>
      <c r="AD698" s="64">
        <v>725279.93417963991</v>
      </c>
      <c r="AE698" s="64">
        <v>0</v>
      </c>
      <c r="AF698" s="64"/>
      <c r="AG698" s="64">
        <v>110892.17747327998</v>
      </c>
      <c r="AH698" s="64">
        <v>0</v>
      </c>
      <c r="AI698" s="64">
        <v>5688610.2120455997</v>
      </c>
      <c r="AJ698" s="64">
        <v>0</v>
      </c>
      <c r="AK698" s="64">
        <v>2953572.3155538603</v>
      </c>
      <c r="AL698" s="64">
        <v>3185709.7232062202</v>
      </c>
      <c r="AM698" s="64">
        <v>1935807.5387000002</v>
      </c>
      <c r="AN698" s="65">
        <v>205397.65109999999</v>
      </c>
      <c r="AO698" s="66">
        <v>393729.18229228002</v>
      </c>
      <c r="AP698" s="128">
        <f>+N698-'Приложение №2'!E707</f>
        <v>0</v>
      </c>
      <c r="AQ698" s="127">
        <f>578197.03-161435.17-R415</f>
        <v>-142224.51599999995</v>
      </c>
      <c r="AR698" s="25">
        <f t="shared" si="453"/>
        <v>142224.516</v>
      </c>
      <c r="AS698" s="25">
        <f>+(K698*10.5+L698*21)*12*30-1010645.26-S415</f>
        <v>103510.89000000013</v>
      </c>
      <c r="AT698" s="127">
        <f t="shared" si="465"/>
        <v>0</v>
      </c>
      <c r="AU698" s="127">
        <f>+P698-'[6]Приложение №1'!$P646</f>
        <v>0</v>
      </c>
      <c r="AV698" s="127">
        <f>+Q698-'[6]Приложение №1'!$Q646</f>
        <v>0</v>
      </c>
      <c r="AW698" s="88">
        <f t="shared" si="481"/>
        <v>5359717.1490907799</v>
      </c>
      <c r="AX698" s="64">
        <v>3853954.6561831413</v>
      </c>
      <c r="AY698" s="64"/>
      <c r="AZ698" s="64">
        <v>1158436.1099060399</v>
      </c>
      <c r="BA698" s="64"/>
      <c r="BB698" s="64">
        <v>0</v>
      </c>
      <c r="BC698" s="64"/>
      <c r="BD698" s="64">
        <v>110892.17747327998</v>
      </c>
      <c r="BE698" s="64">
        <v>0</v>
      </c>
      <c r="BF698" s="64"/>
      <c r="BG698" s="64">
        <v>0</v>
      </c>
      <c r="BH698" s="64"/>
      <c r="BI698" s="64"/>
      <c r="BJ698" s="64"/>
      <c r="BK698" s="65"/>
      <c r="BL698" s="66">
        <v>236434.2055283185</v>
      </c>
    </row>
    <row r="699" spans="1:64" x14ac:dyDescent="0.25">
      <c r="A699" s="141">
        <f t="shared" si="463"/>
        <v>680</v>
      </c>
      <c r="B699" s="142">
        <f t="shared" si="464"/>
        <v>222</v>
      </c>
      <c r="C699" s="62" t="s">
        <v>45</v>
      </c>
      <c r="D699" s="62" t="s">
        <v>825</v>
      </c>
      <c r="E699" s="123">
        <v>1965</v>
      </c>
      <c r="F699" s="123">
        <v>1965</v>
      </c>
      <c r="G699" s="123" t="s">
        <v>43</v>
      </c>
      <c r="H699" s="123">
        <v>3</v>
      </c>
      <c r="I699" s="123">
        <v>2</v>
      </c>
      <c r="J699" s="64">
        <v>987.3</v>
      </c>
      <c r="K699" s="64">
        <v>918.1</v>
      </c>
      <c r="L699" s="64">
        <v>68.099999999999994</v>
      </c>
      <c r="M699" s="124">
        <v>38</v>
      </c>
      <c r="N699" s="63">
        <f t="shared" si="484"/>
        <v>8834990.3952760007</v>
      </c>
      <c r="O699" s="64"/>
      <c r="P699" s="65">
        <v>6467982.027999999</v>
      </c>
      <c r="Q699" s="65"/>
      <c r="R699" s="65">
        <f t="shared" ref="R699:R700" si="485">+AR699</f>
        <v>112915.53000000001</v>
      </c>
      <c r="S699" s="65">
        <f t="shared" si="482"/>
        <v>0</v>
      </c>
      <c r="T699" s="65">
        <f>+'Приложение №2'!E708-'Приложение №1'!P699-'Приложение №1'!R699-'Приложение №1'!S699</f>
        <v>2254092.8372760019</v>
      </c>
      <c r="U699" s="65">
        <f t="shared" si="462"/>
        <v>9623.1242732556366</v>
      </c>
      <c r="V699" s="65">
        <v>1367.2830200640001</v>
      </c>
      <c r="W699" s="126">
        <v>2024</v>
      </c>
      <c r="X699" s="127" t="e">
        <f>+#REF!-'[1]Приложение №1'!$P1173</f>
        <v>#REF!</v>
      </c>
      <c r="Z699" s="63">
        <f t="shared" si="483"/>
        <v>36579168.819999993</v>
      </c>
      <c r="AA699" s="64">
        <v>3296586.4242183599</v>
      </c>
      <c r="AB699" s="64">
        <v>2005923.7262883002</v>
      </c>
      <c r="AC699" s="64">
        <v>945220.05597012001</v>
      </c>
      <c r="AD699" s="64">
        <v>805515.18886355986</v>
      </c>
      <c r="AE699" s="64">
        <v>0</v>
      </c>
      <c r="AF699" s="64"/>
      <c r="AG699" s="64">
        <v>312478.89445500006</v>
      </c>
      <c r="AH699" s="64">
        <v>0</v>
      </c>
      <c r="AI699" s="64">
        <v>9536457.495171601</v>
      </c>
      <c r="AJ699" s="64">
        <v>0</v>
      </c>
      <c r="AK699" s="64">
        <v>7797629.057187479</v>
      </c>
      <c r="AL699" s="64">
        <v>7337973.3202931397</v>
      </c>
      <c r="AM699" s="64">
        <v>3474991.5172000001</v>
      </c>
      <c r="AN699" s="65">
        <v>365791.68819999992</v>
      </c>
      <c r="AO699" s="66">
        <v>700601.45215243986</v>
      </c>
      <c r="AP699" s="128">
        <f>+N699-'Приложение №2'!E708</f>
        <v>0</v>
      </c>
      <c r="AQ699" s="38">
        <f>403863.49-R416</f>
        <v>-112915.53000000003</v>
      </c>
      <c r="AR699" s="25">
        <f t="shared" si="453"/>
        <v>112915.53000000001</v>
      </c>
      <c r="AS699" s="25">
        <f>+(K699*10.5+L699*21)*12*30-S416</f>
        <v>0</v>
      </c>
      <c r="AT699" s="127">
        <f t="shared" si="465"/>
        <v>0</v>
      </c>
      <c r="AU699" s="127">
        <f>+P699-'[6]Приложение №1'!$P647</f>
        <v>0</v>
      </c>
      <c r="AV699" s="127">
        <f>+Q699-'[6]Приложение №1'!$Q647</f>
        <v>0</v>
      </c>
      <c r="AW699" s="88">
        <f t="shared" si="481"/>
        <v>8834990.3952760007</v>
      </c>
      <c r="AX699" s="64">
        <v>3583619.264736</v>
      </c>
      <c r="AY699" s="64">
        <v>2218742.4464100003</v>
      </c>
      <c r="AZ699" s="64">
        <v>1040167.9144080001</v>
      </c>
      <c r="BA699" s="64">
        <v>906414.55938600004</v>
      </c>
      <c r="BB699" s="64">
        <v>0</v>
      </c>
      <c r="BC699" s="64"/>
      <c r="BD699" s="64">
        <v>312478.89445500006</v>
      </c>
      <c r="BE699" s="64">
        <v>0</v>
      </c>
      <c r="BF699" s="64"/>
      <c r="BG699" s="64">
        <v>0</v>
      </c>
      <c r="BH699" s="64"/>
      <c r="BI699" s="64"/>
      <c r="BJ699" s="64"/>
      <c r="BK699" s="65"/>
      <c r="BL699" s="66">
        <v>773567.3158809999</v>
      </c>
    </row>
    <row r="700" spans="1:64" x14ac:dyDescent="0.25">
      <c r="A700" s="141">
        <f t="shared" si="463"/>
        <v>681</v>
      </c>
      <c r="B700" s="142">
        <f t="shared" si="464"/>
        <v>223</v>
      </c>
      <c r="C700" s="62" t="s">
        <v>45</v>
      </c>
      <c r="D700" s="62" t="s">
        <v>826</v>
      </c>
      <c r="E700" s="123">
        <v>1964</v>
      </c>
      <c r="F700" s="123">
        <v>1964</v>
      </c>
      <c r="G700" s="123" t="s">
        <v>43</v>
      </c>
      <c r="H700" s="123">
        <v>3</v>
      </c>
      <c r="I700" s="123">
        <v>1</v>
      </c>
      <c r="J700" s="64">
        <v>998.5</v>
      </c>
      <c r="K700" s="64">
        <v>928.6</v>
      </c>
      <c r="L700" s="64">
        <v>69.900000000000006</v>
      </c>
      <c r="M700" s="124">
        <v>43</v>
      </c>
      <c r="N700" s="63">
        <f t="shared" si="484"/>
        <v>8909854.1813420001</v>
      </c>
      <c r="O700" s="64"/>
      <c r="P700" s="65">
        <v>6526236.7062411997</v>
      </c>
      <c r="Q700" s="65"/>
      <c r="R700" s="65">
        <f t="shared" si="485"/>
        <v>114425.64000000001</v>
      </c>
      <c r="S700" s="65">
        <f t="shared" si="482"/>
        <v>0</v>
      </c>
      <c r="T700" s="65">
        <f>+'Приложение №2'!E709-'Приложение №1'!P700-'Приложение №1'!R700-'Приложение №1'!S700</f>
        <v>2269191.8351008003</v>
      </c>
      <c r="U700" s="65">
        <f t="shared" si="462"/>
        <v>9594.9323512190385</v>
      </c>
      <c r="V700" s="65">
        <v>1368.2830200640001</v>
      </c>
      <c r="W700" s="126">
        <v>2024</v>
      </c>
      <c r="X700" s="127" t="e">
        <f>+#REF!-'[1]Приложение №1'!$P1174</f>
        <v>#REF!</v>
      </c>
      <c r="Z700" s="63">
        <f t="shared" si="483"/>
        <v>36927435.980000004</v>
      </c>
      <c r="AA700" s="64">
        <v>3327972.9418462794</v>
      </c>
      <c r="AB700" s="64">
        <v>2025021.9533430603</v>
      </c>
      <c r="AC700" s="64">
        <v>954219.41462316003</v>
      </c>
      <c r="AD700" s="64">
        <v>813184.43439659989</v>
      </c>
      <c r="AE700" s="64">
        <v>0</v>
      </c>
      <c r="AF700" s="64"/>
      <c r="AG700" s="64">
        <v>315453.97193603998</v>
      </c>
      <c r="AH700" s="64">
        <v>0</v>
      </c>
      <c r="AI700" s="64">
        <v>9627253.2988379989</v>
      </c>
      <c r="AJ700" s="64">
        <v>0</v>
      </c>
      <c r="AK700" s="64">
        <v>7871869.6290435605</v>
      </c>
      <c r="AL700" s="64">
        <v>7407837.5399091002</v>
      </c>
      <c r="AM700" s="64">
        <v>3508076.6171999997</v>
      </c>
      <c r="AN700" s="65">
        <v>369274.35979999998</v>
      </c>
      <c r="AO700" s="66">
        <v>707271.81906420004</v>
      </c>
      <c r="AP700" s="128">
        <f>+N700-'Приложение №2'!E709</f>
        <v>0</v>
      </c>
      <c r="AQ700" s="38">
        <f>483296.11-R417</f>
        <v>-114425.64000000001</v>
      </c>
      <c r="AR700" s="25">
        <f t="shared" si="453"/>
        <v>114425.64000000001</v>
      </c>
      <c r="AS700" s="25">
        <f>+(K700*10.5+L700*21)*12*30-S417</f>
        <v>0</v>
      </c>
      <c r="AT700" s="127">
        <f t="shared" si="465"/>
        <v>0</v>
      </c>
      <c r="AU700" s="127">
        <f>+P700-'[6]Приложение №1'!$P648</f>
        <v>0</v>
      </c>
      <c r="AV700" s="127">
        <f>+Q700-'[6]Приложение №1'!$Q648</f>
        <v>0</v>
      </c>
      <c r="AW700" s="88">
        <f t="shared" si="481"/>
        <v>8909854.1813420001</v>
      </c>
      <c r="AX700" s="64">
        <v>3617984.0269859997</v>
      </c>
      <c r="AY700" s="64">
        <v>2231790.3844320001</v>
      </c>
      <c r="AZ700" s="64">
        <v>1050168.4431</v>
      </c>
      <c r="BA700" s="64">
        <v>912769.65628799994</v>
      </c>
      <c r="BB700" s="64">
        <v>0</v>
      </c>
      <c r="BC700" s="64"/>
      <c r="BD700" s="64">
        <v>315453.97193603998</v>
      </c>
      <c r="BE700" s="64">
        <v>0</v>
      </c>
      <c r="BF700" s="64"/>
      <c r="BG700" s="64">
        <v>0</v>
      </c>
      <c r="BH700" s="64"/>
      <c r="BI700" s="64"/>
      <c r="BJ700" s="64"/>
      <c r="BK700" s="65"/>
      <c r="BL700" s="66">
        <v>781687.69859996007</v>
      </c>
    </row>
    <row r="701" spans="1:64" x14ac:dyDescent="0.25">
      <c r="A701" s="141">
        <f t="shared" si="463"/>
        <v>682</v>
      </c>
      <c r="B701" s="142">
        <f t="shared" si="464"/>
        <v>224</v>
      </c>
      <c r="C701" s="62" t="s">
        <v>45</v>
      </c>
      <c r="D701" s="62" t="s">
        <v>816</v>
      </c>
      <c r="E701" s="123">
        <v>1967</v>
      </c>
      <c r="F701" s="123">
        <v>1967</v>
      </c>
      <c r="G701" s="123" t="s">
        <v>43</v>
      </c>
      <c r="H701" s="123">
        <v>3</v>
      </c>
      <c r="I701" s="123">
        <v>2</v>
      </c>
      <c r="J701" s="64">
        <v>994.3</v>
      </c>
      <c r="K701" s="64">
        <v>775.2</v>
      </c>
      <c r="L701" s="64">
        <v>168.7</v>
      </c>
      <c r="M701" s="124">
        <v>26</v>
      </c>
      <c r="N701" s="63">
        <f>SUM(O701:T701)</f>
        <v>1251405.6599713201</v>
      </c>
      <c r="O701" s="64"/>
      <c r="P701" s="65"/>
      <c r="Q701" s="65"/>
      <c r="R701" s="65">
        <f t="shared" ref="R701" si="486">+AQ701+AR701</f>
        <v>486776.28</v>
      </c>
      <c r="S701" s="65">
        <f>+AS701-3240730.62</f>
        <v>764629.37999999989</v>
      </c>
      <c r="T701" s="65">
        <f>+'Приложение №2'!E710-'Приложение №1'!P701-'Приложение №1'!R701-'Приложение №1'!S701</f>
        <v>-2.8679845854640007E-5</v>
      </c>
      <c r="U701" s="64">
        <f t="shared" ref="U701:V701" si="487">$N701/($K701+$L701)</f>
        <v>1325.78203196453</v>
      </c>
      <c r="V701" s="64">
        <f t="shared" si="487"/>
        <v>1325.78203196453</v>
      </c>
      <c r="W701" s="126">
        <v>2024</v>
      </c>
      <c r="X701" s="127" t="e">
        <f>+#REF!-'[1]Приложение №1'!$P1673</f>
        <v>#REF!</v>
      </c>
      <c r="Z701" s="63">
        <f t="shared" si="483"/>
        <v>34167233.340000004</v>
      </c>
      <c r="AA701" s="64">
        <v>3079218.0664572599</v>
      </c>
      <c r="AB701" s="64">
        <v>1873658.3176915799</v>
      </c>
      <c r="AC701" s="64">
        <v>882894.70095414005</v>
      </c>
      <c r="AD701" s="64">
        <v>752401.6108417199</v>
      </c>
      <c r="AE701" s="64">
        <v>0</v>
      </c>
      <c r="AF701" s="64"/>
      <c r="AG701" s="64">
        <v>291874.83960432006</v>
      </c>
      <c r="AH701" s="64">
        <v>0</v>
      </c>
      <c r="AI701" s="64">
        <v>8907648.2312202007</v>
      </c>
      <c r="AJ701" s="64">
        <v>0</v>
      </c>
      <c r="AK701" s="64">
        <v>7283473.6350293402</v>
      </c>
      <c r="AL701" s="64">
        <v>6854126.4005717998</v>
      </c>
      <c r="AM701" s="64">
        <v>3245859.5940000005</v>
      </c>
      <c r="AN701" s="65">
        <v>341672.33340000006</v>
      </c>
      <c r="AO701" s="66">
        <v>654405.61022964003</v>
      </c>
      <c r="AP701" s="128">
        <f>+N701-'Приложение №2'!E710</f>
        <v>0</v>
      </c>
      <c r="AQ701" s="23">
        <v>373291.08</v>
      </c>
      <c r="AR701" s="25">
        <f>+(K701*10+L701*20)*12*0.85</f>
        <v>113485.2</v>
      </c>
      <c r="AS701" s="25">
        <f>+(K701*10+L701*20)*12*30</f>
        <v>4005360</v>
      </c>
      <c r="AT701" s="127">
        <f t="shared" si="465"/>
        <v>-3240730.62</v>
      </c>
      <c r="AU701" s="127" t="e">
        <f>+#REF!-'[6]Приложение №1'!$P649</f>
        <v>#REF!</v>
      </c>
      <c r="AV701" s="127">
        <f>+Q701-'[6]Приложение №1'!$Q649</f>
        <v>0</v>
      </c>
      <c r="AW701" s="63">
        <f t="shared" si="481"/>
        <v>1251405.6599713201</v>
      </c>
      <c r="AX701" s="64"/>
      <c r="AY701" s="64"/>
      <c r="AZ701" s="64">
        <v>970374.21133800002</v>
      </c>
      <c r="BA701" s="64"/>
      <c r="BB701" s="64">
        <v>0</v>
      </c>
      <c r="BC701" s="64"/>
      <c r="BD701" s="64"/>
      <c r="BE701" s="64">
        <v>0</v>
      </c>
      <c r="BF701" s="64"/>
      <c r="BG701" s="64">
        <v>0</v>
      </c>
      <c r="BH701" s="64"/>
      <c r="BI701" s="64"/>
      <c r="BJ701" s="64"/>
      <c r="BK701" s="65"/>
      <c r="BL701" s="66">
        <v>281031.44863332005</v>
      </c>
    </row>
    <row r="702" spans="1:64" x14ac:dyDescent="0.25">
      <c r="A702" s="141">
        <f t="shared" si="463"/>
        <v>683</v>
      </c>
      <c r="B702" s="142">
        <f t="shared" si="464"/>
        <v>225</v>
      </c>
      <c r="C702" s="62" t="s">
        <v>45</v>
      </c>
      <c r="D702" s="62" t="s">
        <v>827</v>
      </c>
      <c r="E702" s="123">
        <v>1970</v>
      </c>
      <c r="F702" s="123">
        <v>1970</v>
      </c>
      <c r="G702" s="123" t="s">
        <v>43</v>
      </c>
      <c r="H702" s="123">
        <v>3</v>
      </c>
      <c r="I702" s="123">
        <v>3</v>
      </c>
      <c r="J702" s="64">
        <v>1002.4</v>
      </c>
      <c r="K702" s="64">
        <v>930.4</v>
      </c>
      <c r="L702" s="64">
        <v>71.8</v>
      </c>
      <c r="M702" s="124">
        <v>40</v>
      </c>
      <c r="N702" s="63">
        <f t="shared" si="484"/>
        <v>8209051.5736664012</v>
      </c>
      <c r="O702" s="64"/>
      <c r="P702" s="65">
        <v>6554730.6119999988</v>
      </c>
      <c r="Q702" s="65"/>
      <c r="R702" s="65">
        <f>+AR702</f>
        <v>115025.39999999997</v>
      </c>
      <c r="S702" s="65">
        <f t="shared" si="482"/>
        <v>0</v>
      </c>
      <c r="T702" s="65">
        <f>+'Приложение №2'!E711-'Приложение №1'!P702-'Приложение №1'!R702-'Приложение №1'!S702</f>
        <v>1539295.5616664016</v>
      </c>
      <c r="U702" s="65">
        <f t="shared" si="462"/>
        <v>8823.1422760816877</v>
      </c>
      <c r="V702" s="65">
        <v>1370.2830200640001</v>
      </c>
      <c r="W702" s="126">
        <v>2024</v>
      </c>
      <c r="X702" s="127" t="e">
        <f>+#REF!-'[1]Приложение №1'!$P1176</f>
        <v>#REF!</v>
      </c>
      <c r="Z702" s="63">
        <f t="shared" si="483"/>
        <v>37138619.279999994</v>
      </c>
      <c r="AA702" s="64">
        <v>3347005.1922762003</v>
      </c>
      <c r="AB702" s="64">
        <v>2036602.79352348</v>
      </c>
      <c r="AC702" s="64">
        <v>959676.47271510004</v>
      </c>
      <c r="AD702" s="64">
        <v>817834.93398936011</v>
      </c>
      <c r="AE702" s="64">
        <v>0</v>
      </c>
      <c r="AF702" s="64"/>
      <c r="AG702" s="64">
        <v>317258.01868739998</v>
      </c>
      <c r="AH702" s="64">
        <v>0</v>
      </c>
      <c r="AI702" s="64">
        <v>9682310.3290956002</v>
      </c>
      <c r="AJ702" s="64">
        <v>0</v>
      </c>
      <c r="AK702" s="64">
        <v>7916887.847777158</v>
      </c>
      <c r="AL702" s="64">
        <v>7450202.0227714796</v>
      </c>
      <c r="AM702" s="64">
        <v>3528138.8598999996</v>
      </c>
      <c r="AN702" s="65">
        <v>371386.19280000002</v>
      </c>
      <c r="AO702" s="66">
        <v>711316.6164642201</v>
      </c>
      <c r="AP702" s="128">
        <f>+N702-'Приложение №2'!E711</f>
        <v>0</v>
      </c>
      <c r="AQ702" s="38">
        <f>503547.06-R420</f>
        <v>-115025.39999999997</v>
      </c>
      <c r="AR702" s="25">
        <f t="shared" si="453"/>
        <v>115025.39999999997</v>
      </c>
      <c r="AS702" s="25">
        <f>+(K702*10.5+L702*21)*12*30-S420</f>
        <v>0</v>
      </c>
      <c r="AT702" s="127">
        <f t="shared" si="465"/>
        <v>0</v>
      </c>
      <c r="AU702" s="127">
        <f>+P702-'[6]Приложение №1'!$P650</f>
        <v>0</v>
      </c>
      <c r="AV702" s="127">
        <f>+Q702-'[6]Приложение №1'!$Q650</f>
        <v>0</v>
      </c>
      <c r="AW702" s="88">
        <f t="shared" si="481"/>
        <v>8209051.5736664003</v>
      </c>
      <c r="AX702" s="64">
        <v>3347005.1922762003</v>
      </c>
      <c r="AY702" s="64">
        <v>2036602.79352348</v>
      </c>
      <c r="AZ702" s="64">
        <v>959676.47271510004</v>
      </c>
      <c r="BA702" s="64">
        <v>837192.48</v>
      </c>
      <c r="BB702" s="64">
        <v>0</v>
      </c>
      <c r="BC702" s="64"/>
      <c r="BD702" s="64">
        <v>317258.01868739998</v>
      </c>
      <c r="BE702" s="64">
        <v>0</v>
      </c>
      <c r="BF702" s="64"/>
      <c r="BG702" s="64">
        <v>0</v>
      </c>
      <c r="BH702" s="64"/>
      <c r="BI702" s="64"/>
      <c r="BJ702" s="64"/>
      <c r="BK702" s="65"/>
      <c r="BL702" s="66">
        <v>711316.6164642201</v>
      </c>
    </row>
    <row r="703" spans="1:64" x14ac:dyDescent="0.25">
      <c r="A703" s="141">
        <f t="shared" si="463"/>
        <v>684</v>
      </c>
      <c r="B703" s="142">
        <f t="shared" si="464"/>
        <v>226</v>
      </c>
      <c r="C703" s="62" t="s">
        <v>45</v>
      </c>
      <c r="D703" s="62" t="s">
        <v>971</v>
      </c>
      <c r="E703" s="123" t="s">
        <v>972</v>
      </c>
      <c r="F703" s="123"/>
      <c r="G703" s="123" t="s">
        <v>43</v>
      </c>
      <c r="H703" s="123" t="s">
        <v>97</v>
      </c>
      <c r="I703" s="123" t="s">
        <v>98</v>
      </c>
      <c r="J703" s="64">
        <v>5398.2</v>
      </c>
      <c r="K703" s="64">
        <v>4716.7</v>
      </c>
      <c r="L703" s="64">
        <v>0</v>
      </c>
      <c r="M703" s="124">
        <v>166</v>
      </c>
      <c r="N703" s="63">
        <f t="shared" si="484"/>
        <v>8542100</v>
      </c>
      <c r="O703" s="64"/>
      <c r="P703" s="65"/>
      <c r="Q703" s="65">
        <v>718272</v>
      </c>
      <c r="R703" s="65">
        <f>+AQ703+AR703</f>
        <v>3771476.173</v>
      </c>
      <c r="S703" s="65">
        <f>+'Приложение №2'!E712-'Приложение №1'!Q703-'Приложение №1'!R703</f>
        <v>4052351.827</v>
      </c>
      <c r="T703" s="65"/>
      <c r="U703" s="65">
        <f t="shared" ref="U703:U707" si="488">N703/K703</f>
        <v>1811.0331375749995</v>
      </c>
      <c r="V703" s="65">
        <v>1371.2830200640001</v>
      </c>
      <c r="W703" s="126">
        <v>2024</v>
      </c>
      <c r="X703" s="127"/>
      <c r="Z703" s="63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5"/>
      <c r="AO703" s="66"/>
      <c r="AP703" s="128">
        <f>+N703-'Приложение №2'!E712</f>
        <v>0</v>
      </c>
      <c r="AQ703" s="41">
        <v>3100336.93</v>
      </c>
      <c r="AR703" s="25">
        <f>+(K703*13.95+L703*23.65)*12*0.85</f>
        <v>671139.2429999999</v>
      </c>
      <c r="AS703" s="25">
        <f>+(K703*13.95+L703*23.65)*12*30</f>
        <v>23687267.399999999</v>
      </c>
      <c r="AT703" s="127"/>
      <c r="AU703" s="127"/>
      <c r="AV703" s="127"/>
      <c r="AW703" s="88">
        <f t="shared" si="481"/>
        <v>8542100</v>
      </c>
      <c r="AX703" s="64"/>
      <c r="AY703" s="64"/>
      <c r="AZ703" s="64"/>
      <c r="BA703" s="64"/>
      <c r="BB703" s="64"/>
      <c r="BC703" s="64"/>
      <c r="BD703" s="64"/>
      <c r="BE703" s="64">
        <v>8024927.0976</v>
      </c>
      <c r="BF703" s="64"/>
      <c r="BG703" s="64"/>
      <c r="BH703" s="64"/>
      <c r="BI703" s="64"/>
      <c r="BJ703" s="64">
        <v>256263</v>
      </c>
      <c r="BK703" s="65">
        <v>85421</v>
      </c>
      <c r="BL703" s="66">
        <v>175488.90240000002</v>
      </c>
    </row>
    <row r="704" spans="1:64" x14ac:dyDescent="0.25">
      <c r="A704" s="141">
        <f t="shared" si="463"/>
        <v>685</v>
      </c>
      <c r="B704" s="142">
        <f t="shared" si="464"/>
        <v>227</v>
      </c>
      <c r="C704" s="62" t="s">
        <v>45</v>
      </c>
      <c r="D704" s="62" t="s">
        <v>817</v>
      </c>
      <c r="E704" s="123">
        <v>1974</v>
      </c>
      <c r="F704" s="123">
        <v>1974</v>
      </c>
      <c r="G704" s="123" t="s">
        <v>43</v>
      </c>
      <c r="H704" s="123">
        <v>4</v>
      </c>
      <c r="I704" s="123">
        <v>3</v>
      </c>
      <c r="J704" s="64">
        <v>1380.9</v>
      </c>
      <c r="K704" s="64">
        <v>1261.0999999999999</v>
      </c>
      <c r="L704" s="64">
        <v>0</v>
      </c>
      <c r="M704" s="124">
        <v>43</v>
      </c>
      <c r="N704" s="63">
        <f t="shared" si="484"/>
        <v>5530494.6388669563</v>
      </c>
      <c r="O704" s="64"/>
      <c r="P704" s="65">
        <v>1342375.9173957503</v>
      </c>
      <c r="Q704" s="65"/>
      <c r="R704" s="65">
        <f>+AR704</f>
        <v>135063.80999999997</v>
      </c>
      <c r="S704" s="65">
        <f>+'Приложение №2'!E713-'Приложение №1'!P704-'Приложение №1'!R704</f>
        <v>4053054.9114712062</v>
      </c>
      <c r="T704" s="65">
        <f>+'Приложение №2'!E713-'Приложение №1'!P704-'Приложение №1'!Q704-'Приложение №1'!R704-'Приложение №1'!S704</f>
        <v>0</v>
      </c>
      <c r="U704" s="65">
        <f t="shared" si="488"/>
        <v>4385.4528894353789</v>
      </c>
      <c r="V704" s="65">
        <v>1372.2830200640001</v>
      </c>
      <c r="W704" s="126">
        <v>2024</v>
      </c>
      <c r="X704" s="127" t="e">
        <f>+#REF!-'[1]Приложение №1'!$P1514</f>
        <v>#REF!</v>
      </c>
      <c r="Z704" s="63">
        <f t="shared" si="483"/>
        <v>24082184.68</v>
      </c>
      <c r="AA704" s="64">
        <v>3459603.0948952204</v>
      </c>
      <c r="AB704" s="64">
        <v>1248096.36492156</v>
      </c>
      <c r="AC704" s="64">
        <v>1303954.6600395001</v>
      </c>
      <c r="AD704" s="64">
        <v>816386.97648732003</v>
      </c>
      <c r="AE704" s="64">
        <v>0</v>
      </c>
      <c r="AF704" s="64"/>
      <c r="AG704" s="64">
        <v>124822.049583</v>
      </c>
      <c r="AH704" s="64">
        <v>0</v>
      </c>
      <c r="AI704" s="64">
        <v>6403192.8421985991</v>
      </c>
      <c r="AJ704" s="64">
        <v>838109.10532439989</v>
      </c>
      <c r="AK704" s="64">
        <v>3324589.38292698</v>
      </c>
      <c r="AL704" s="64">
        <v>3585887.05339116</v>
      </c>
      <c r="AM704" s="64">
        <v>2275205.5373000004</v>
      </c>
      <c r="AN704" s="65">
        <v>240821.8468</v>
      </c>
      <c r="AO704" s="66">
        <v>461515.76613225997</v>
      </c>
      <c r="AP704" s="128">
        <f>+N704-'Приложение №2'!E713</f>
        <v>0</v>
      </c>
      <c r="AQ704" s="127">
        <f>656646.01-R151</f>
        <v>14721.25</v>
      </c>
      <c r="AR704" s="25">
        <f t="shared" si="453"/>
        <v>135063.80999999997</v>
      </c>
      <c r="AS704" s="25">
        <f>+(K704*10.5+L704*21)*12*30-S151</f>
        <v>4076748.0691816388</v>
      </c>
      <c r="AT704" s="127">
        <f t="shared" si="465"/>
        <v>-23693.157710432541</v>
      </c>
      <c r="AU704" s="127">
        <f>+P704-'[6]Приложение №1'!$P651</f>
        <v>0</v>
      </c>
      <c r="AV704" s="127">
        <f>+Q704-'[6]Приложение №1'!$Q651</f>
        <v>0</v>
      </c>
      <c r="AW704" s="88">
        <f t="shared" si="481"/>
        <v>5530494.6388669563</v>
      </c>
      <c r="AX704" s="64">
        <v>3852549.3967092787</v>
      </c>
      <c r="AY704" s="64"/>
      <c r="AZ704" s="64">
        <v>1437441.799164</v>
      </c>
      <c r="BA704" s="64"/>
      <c r="BB704" s="64">
        <v>0</v>
      </c>
      <c r="BC704" s="64"/>
      <c r="BD704" s="64">
        <v>124822.049583</v>
      </c>
      <c r="BE704" s="64">
        <v>0</v>
      </c>
      <c r="BF704" s="64"/>
      <c r="BG704" s="64"/>
      <c r="BH704" s="64"/>
      <c r="BI704" s="64"/>
      <c r="BJ704" s="64"/>
      <c r="BK704" s="65"/>
      <c r="BL704" s="66">
        <v>115681.39341067667</v>
      </c>
    </row>
    <row r="705" spans="1:65" x14ac:dyDescent="0.25">
      <c r="A705" s="141">
        <f t="shared" si="463"/>
        <v>686</v>
      </c>
      <c r="B705" s="142">
        <f t="shared" si="464"/>
        <v>228</v>
      </c>
      <c r="C705" s="62" t="s">
        <v>45</v>
      </c>
      <c r="D705" s="62" t="s">
        <v>818</v>
      </c>
      <c r="E705" s="123">
        <v>1962</v>
      </c>
      <c r="F705" s="123">
        <v>1962</v>
      </c>
      <c r="G705" s="123" t="s">
        <v>43</v>
      </c>
      <c r="H705" s="123">
        <v>3</v>
      </c>
      <c r="I705" s="123">
        <v>2</v>
      </c>
      <c r="J705" s="64">
        <v>937.1</v>
      </c>
      <c r="K705" s="64">
        <v>723.7</v>
      </c>
      <c r="L705" s="64">
        <v>213.4</v>
      </c>
      <c r="M705" s="124">
        <v>26</v>
      </c>
      <c r="N705" s="63">
        <f t="shared" si="484"/>
        <v>4580069.0167048005</v>
      </c>
      <c r="O705" s="64"/>
      <c r="P705" s="65">
        <v>2546073</v>
      </c>
      <c r="Q705" s="65"/>
      <c r="R705" s="65">
        <f>+AR705</f>
        <v>123218.55</v>
      </c>
      <c r="S705" s="65">
        <f t="shared" si="482"/>
        <v>1099083.0421968</v>
      </c>
      <c r="T705" s="65">
        <f>+'Приложение №2'!E714-'Приложение №1'!P705-'Приложение №1'!Q705-'Приложение №1'!R705-'Приложение №1'!S705</f>
        <v>811694.42450800049</v>
      </c>
      <c r="U705" s="65">
        <f t="shared" si="488"/>
        <v>6328.6845608743961</v>
      </c>
      <c r="V705" s="65">
        <v>1373.2830200640001</v>
      </c>
      <c r="W705" s="126">
        <v>2024</v>
      </c>
      <c r="X705" s="127" t="e">
        <f>+#REF!-'[1]Приложение №1'!$P1515</f>
        <v>#REF!</v>
      </c>
      <c r="Z705" s="63">
        <f t="shared" si="483"/>
        <v>26675784</v>
      </c>
      <c r="AA705" s="64">
        <v>2404073.9634912</v>
      </c>
      <c r="AB705" s="64">
        <v>1462843.1901888</v>
      </c>
      <c r="AC705" s="64">
        <v>689312.71110239998</v>
      </c>
      <c r="AD705" s="64">
        <v>587431.31489280006</v>
      </c>
      <c r="AE705" s="64">
        <v>0</v>
      </c>
      <c r="AF705" s="64"/>
      <c r="AG705" s="64">
        <v>227878.8628032</v>
      </c>
      <c r="AH705" s="64">
        <v>0</v>
      </c>
      <c r="AI705" s="64">
        <v>6954572.4655679995</v>
      </c>
      <c r="AJ705" s="64">
        <v>0</v>
      </c>
      <c r="AK705" s="64">
        <v>5686511.6200032001</v>
      </c>
      <c r="AL705" s="64">
        <v>5351302.3282992002</v>
      </c>
      <c r="AM705" s="64">
        <v>2534177.952</v>
      </c>
      <c r="AN705" s="65">
        <v>266757.84000000003</v>
      </c>
      <c r="AO705" s="66">
        <v>510921.75165120006</v>
      </c>
      <c r="AP705" s="128">
        <f>+N705-'Приложение №2'!E714</f>
        <v>0</v>
      </c>
      <c r="AQ705" s="127">
        <f>353999.5-R423</f>
        <v>135489.38</v>
      </c>
      <c r="AR705" s="25">
        <f t="shared" si="453"/>
        <v>123218.55</v>
      </c>
      <c r="AS705" s="25">
        <f>+(K705*10.5+L705*21)*12*30-S423</f>
        <v>1099083.0421968</v>
      </c>
      <c r="AT705" s="127">
        <f t="shared" si="465"/>
        <v>0</v>
      </c>
      <c r="AU705" s="127">
        <f>+P705-'[6]Приложение №1'!$P652</f>
        <v>0</v>
      </c>
      <c r="AV705" s="127">
        <f>+Q705-'[6]Приложение №1'!$Q652</f>
        <v>0</v>
      </c>
      <c r="AW705" s="88">
        <f t="shared" si="481"/>
        <v>4580069.0167048005</v>
      </c>
      <c r="AX705" s="64">
        <v>2968725.2</v>
      </c>
      <c r="AY705" s="64">
        <v>0</v>
      </c>
      <c r="AZ705" s="64">
        <v>953705.41</v>
      </c>
      <c r="BA705" s="64"/>
      <c r="BB705" s="64">
        <v>0</v>
      </c>
      <c r="BC705" s="64"/>
      <c r="BD705" s="64">
        <v>227878.8628032</v>
      </c>
      <c r="BE705" s="64">
        <v>0</v>
      </c>
      <c r="BF705" s="64">
        <v>227029.93</v>
      </c>
      <c r="BG705" s="64">
        <v>0</v>
      </c>
      <c r="BH705" s="64"/>
      <c r="BI705" s="64"/>
      <c r="BJ705" s="64"/>
      <c r="BK705" s="65"/>
      <c r="BL705" s="66">
        <v>202729.61390160001</v>
      </c>
    </row>
    <row r="706" spans="1:65" x14ac:dyDescent="0.25">
      <c r="A706" s="141">
        <f t="shared" si="463"/>
        <v>687</v>
      </c>
      <c r="B706" s="142">
        <f t="shared" si="464"/>
        <v>229</v>
      </c>
      <c r="C706" s="62" t="s">
        <v>45</v>
      </c>
      <c r="D706" s="62" t="s">
        <v>828</v>
      </c>
      <c r="E706" s="123">
        <v>1973</v>
      </c>
      <c r="F706" s="123">
        <v>1973</v>
      </c>
      <c r="G706" s="123" t="s">
        <v>43</v>
      </c>
      <c r="H706" s="123">
        <v>4</v>
      </c>
      <c r="I706" s="123">
        <v>1</v>
      </c>
      <c r="J706" s="64">
        <v>1419.3</v>
      </c>
      <c r="K706" s="64">
        <v>1084.2</v>
      </c>
      <c r="L706" s="64">
        <v>165.8</v>
      </c>
      <c r="M706" s="124">
        <v>48</v>
      </c>
      <c r="N706" s="63">
        <f t="shared" si="484"/>
        <v>6383249.3920844607</v>
      </c>
      <c r="O706" s="64"/>
      <c r="P706" s="65">
        <v>3168000.6575000002</v>
      </c>
      <c r="Q706" s="65"/>
      <c r="R706" s="65">
        <f t="shared" ref="R706:R732" si="489">+AQ706+AR706</f>
        <v>829165.08000000007</v>
      </c>
      <c r="S706" s="65">
        <f>+AS706-2965640.35</f>
        <v>2386083.6500000008</v>
      </c>
      <c r="T706" s="65">
        <f>+'Приложение №2'!E715-'Приложение №1'!P706-'Приложение №1'!Q706-'Приложение №1'!R706-'Приложение №1'!S706</f>
        <v>4.584459587931633E-3</v>
      </c>
      <c r="U706" s="65">
        <f t="shared" si="488"/>
        <v>5887.5201919244237</v>
      </c>
      <c r="V706" s="65">
        <v>1374.2830200640001</v>
      </c>
      <c r="W706" s="126">
        <v>2024</v>
      </c>
      <c r="X706" s="127" t="e">
        <f>+#REF!-'[1]Приложение №1'!$P1179</f>
        <v>#REF!</v>
      </c>
      <c r="Z706" s="63">
        <f t="shared" si="483"/>
        <v>23254292.520000007</v>
      </c>
      <c r="AA706" s="64">
        <v>3340669.60738602</v>
      </c>
      <c r="AB706" s="64">
        <v>1205189.5738415401</v>
      </c>
      <c r="AC706" s="64">
        <v>1259127.5895802802</v>
      </c>
      <c r="AD706" s="64">
        <v>788321.39941547997</v>
      </c>
      <c r="AE706" s="64">
        <v>0</v>
      </c>
      <c r="AF706" s="64"/>
      <c r="AG706" s="64">
        <v>120530.94592896002</v>
      </c>
      <c r="AH706" s="64">
        <v>0</v>
      </c>
      <c r="AI706" s="64">
        <v>6183065.2576392004</v>
      </c>
      <c r="AJ706" s="64">
        <v>809296.77121649997</v>
      </c>
      <c r="AK706" s="64">
        <v>3210297.3642940195</v>
      </c>
      <c r="AL706" s="64">
        <v>3462612.1981025399</v>
      </c>
      <c r="AM706" s="64">
        <v>2196989.0109000001</v>
      </c>
      <c r="AN706" s="65">
        <v>232542.92520000003</v>
      </c>
      <c r="AO706" s="66">
        <v>445649.87649546011</v>
      </c>
      <c r="AP706" s="128">
        <f>+N706-'Приложение №2'!E715</f>
        <v>0</v>
      </c>
      <c r="AQ706" s="38">
        <v>677532.9</v>
      </c>
      <c r="AR706" s="25">
        <f t="shared" si="453"/>
        <v>151632.18000000002</v>
      </c>
      <c r="AS706" s="25">
        <f t="shared" ref="AS706:AS710" si="490">+(K706*10.5+L706*21)*12*30</f>
        <v>5351724.0000000009</v>
      </c>
      <c r="AT706" s="127">
        <f t="shared" si="465"/>
        <v>-2965640.35</v>
      </c>
      <c r="AU706" s="127">
        <f>+P706-'[6]Приложение №1'!$P653</f>
        <v>0</v>
      </c>
      <c r="AV706" s="127">
        <f>+Q706-'[6]Приложение №1'!$Q653</f>
        <v>0</v>
      </c>
      <c r="AW706" s="88">
        <f t="shared" si="481"/>
        <v>6383249.3920844607</v>
      </c>
      <c r="AX706" s="64">
        <v>3621078.2721119998</v>
      </c>
      <c r="AY706" s="64">
        <v>1375290.94</v>
      </c>
      <c r="AZ706" s="64"/>
      <c r="BA706" s="64">
        <v>876899.75830800005</v>
      </c>
      <c r="BB706" s="64">
        <v>0</v>
      </c>
      <c r="BC706" s="64"/>
      <c r="BD706" s="64">
        <v>120530.94592896002</v>
      </c>
      <c r="BE706" s="64">
        <v>0</v>
      </c>
      <c r="BF706" s="64"/>
      <c r="BG706" s="64">
        <v>0</v>
      </c>
      <c r="BH706" s="64">
        <v>0</v>
      </c>
      <c r="BI706" s="64"/>
      <c r="BJ706" s="64"/>
      <c r="BK706" s="65"/>
      <c r="BL706" s="66">
        <v>389449.47573549999</v>
      </c>
      <c r="BM706" s="25"/>
    </row>
    <row r="707" spans="1:65" x14ac:dyDescent="0.25">
      <c r="A707" s="141">
        <f t="shared" si="463"/>
        <v>688</v>
      </c>
      <c r="B707" s="142">
        <f t="shared" si="464"/>
        <v>230</v>
      </c>
      <c r="C707" s="62" t="s">
        <v>45</v>
      </c>
      <c r="D707" s="62" t="s">
        <v>973</v>
      </c>
      <c r="E707" s="123" t="s">
        <v>120</v>
      </c>
      <c r="F707" s="123"/>
      <c r="G707" s="123" t="s">
        <v>43</v>
      </c>
      <c r="H707" s="123" t="s">
        <v>108</v>
      </c>
      <c r="I707" s="123" t="s">
        <v>102</v>
      </c>
      <c r="J707" s="64">
        <v>3670.5</v>
      </c>
      <c r="K707" s="64">
        <v>3418.1</v>
      </c>
      <c r="L707" s="64">
        <v>0</v>
      </c>
      <c r="M707" s="124">
        <v>108</v>
      </c>
      <c r="N707" s="63">
        <f t="shared" si="484"/>
        <v>21943518.950173188</v>
      </c>
      <c r="O707" s="64"/>
      <c r="P707" s="65"/>
      <c r="Q707" s="65">
        <v>2388438</v>
      </c>
      <c r="R707" s="65">
        <f>+AQ707+AR707</f>
        <v>2217399.54</v>
      </c>
      <c r="S707" s="65">
        <f>+'Приложение №2'!E716-'Приложение №1'!Q707-'Приложение №1'!R707</f>
        <v>17337681.410173189</v>
      </c>
      <c r="T707" s="65"/>
      <c r="U707" s="65">
        <f t="shared" si="488"/>
        <v>6419.8001668099787</v>
      </c>
      <c r="V707" s="65">
        <v>1375.2830200640001</v>
      </c>
      <c r="W707" s="126">
        <v>2024</v>
      </c>
      <c r="X707" s="127"/>
      <c r="Z707" s="63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  <c r="AL707" s="64"/>
      <c r="AM707" s="64"/>
      <c r="AN707" s="65"/>
      <c r="AO707" s="66"/>
      <c r="AP707" s="128">
        <f>+N707-'Приложение №2'!E716</f>
        <v>0</v>
      </c>
      <c r="AQ707" s="41">
        <v>1851321.03</v>
      </c>
      <c r="AR707" s="25">
        <f t="shared" si="453"/>
        <v>366078.50999999995</v>
      </c>
      <c r="AS707" s="25">
        <f t="shared" si="490"/>
        <v>12920418</v>
      </c>
      <c r="AT707" s="127"/>
      <c r="AU707" s="127"/>
      <c r="AV707" s="127"/>
      <c r="AW707" s="88">
        <f t="shared" si="481"/>
        <v>21943518.950173188</v>
      </c>
      <c r="AX707" s="64"/>
      <c r="AY707" s="64"/>
      <c r="AZ707" s="64"/>
      <c r="BA707" s="64"/>
      <c r="BB707" s="64"/>
      <c r="BC707" s="64"/>
      <c r="BD707" s="64"/>
      <c r="BE707" s="64"/>
      <c r="BF707" s="64">
        <v>19326534.880175535</v>
      </c>
      <c r="BG707" s="64">
        <v>0</v>
      </c>
      <c r="BH707" s="64">
        <v>0</v>
      </c>
      <c r="BI707" s="64">
        <v>0</v>
      </c>
      <c r="BJ707" s="64">
        <v>1974916.7055155868</v>
      </c>
      <c r="BK707" s="65">
        <v>219435.18950173189</v>
      </c>
      <c r="BL707" s="66">
        <v>422632.17498033564</v>
      </c>
    </row>
    <row r="708" spans="1:65" x14ac:dyDescent="0.25">
      <c r="A708" s="141">
        <f t="shared" si="463"/>
        <v>689</v>
      </c>
      <c r="B708" s="142">
        <f t="shared" si="464"/>
        <v>231</v>
      </c>
      <c r="C708" s="62" t="s">
        <v>45</v>
      </c>
      <c r="D708" s="62" t="s">
        <v>831</v>
      </c>
      <c r="E708" s="123">
        <v>1976</v>
      </c>
      <c r="F708" s="123">
        <v>1976</v>
      </c>
      <c r="G708" s="123" t="s">
        <v>43</v>
      </c>
      <c r="H708" s="123">
        <v>5</v>
      </c>
      <c r="I708" s="123">
        <v>5</v>
      </c>
      <c r="J708" s="64">
        <v>3760.4</v>
      </c>
      <c r="K708" s="64">
        <v>2861.4</v>
      </c>
      <c r="L708" s="64">
        <v>798.2</v>
      </c>
      <c r="M708" s="124">
        <v>103</v>
      </c>
      <c r="N708" s="63">
        <f t="shared" si="484"/>
        <v>18454975.689012323</v>
      </c>
      <c r="O708" s="64"/>
      <c r="P708" s="65">
        <v>7052461.9983708654</v>
      </c>
      <c r="Q708" s="65"/>
      <c r="R708" s="65">
        <f>+AR708</f>
        <v>477430.38</v>
      </c>
      <c r="S708" s="65">
        <f t="shared" si="482"/>
        <v>0</v>
      </c>
      <c r="T708" s="65">
        <f>+'Приложение №2'!E717-'Приложение №1'!P708-'Приложение №1'!R708-'Приложение №1'!S708</f>
        <v>10925083.310641456</v>
      </c>
      <c r="U708" s="65">
        <f t="shared" si="462"/>
        <v>6449.6315401594748</v>
      </c>
      <c r="V708" s="65">
        <v>1376.2830200640001</v>
      </c>
      <c r="W708" s="126">
        <v>2024</v>
      </c>
      <c r="X708" s="127" t="e">
        <f>+#REF!-'[1]Приложение №1'!$P1555</f>
        <v>#REF!</v>
      </c>
      <c r="Z708" s="63">
        <f t="shared" si="483"/>
        <v>64553057.020000003</v>
      </c>
      <c r="AA708" s="64">
        <v>10537075.366258001</v>
      </c>
      <c r="AB708" s="64">
        <v>3835013.4758320004</v>
      </c>
      <c r="AC708" s="64">
        <v>4042843.3866100004</v>
      </c>
      <c r="AD708" s="64">
        <v>2587058.6111860005</v>
      </c>
      <c r="AE708" s="64">
        <v>0</v>
      </c>
      <c r="AF708" s="64"/>
      <c r="AG708" s="64">
        <v>355628.19171599997</v>
      </c>
      <c r="AH708" s="64">
        <v>0</v>
      </c>
      <c r="AI708" s="64">
        <v>19695633.831831999</v>
      </c>
      <c r="AJ708" s="64">
        <v>0</v>
      </c>
      <c r="AK708" s="64">
        <v>10278986.262244001</v>
      </c>
      <c r="AL708" s="64">
        <v>11095009.757790001</v>
      </c>
      <c r="AM708" s="64">
        <v>686396.29</v>
      </c>
      <c r="AN708" s="64">
        <v>74254.350000000006</v>
      </c>
      <c r="AO708" s="66">
        <v>1365157.4965319997</v>
      </c>
      <c r="AP708" s="128">
        <f>+N708-'Приложение №2'!E717</f>
        <v>0</v>
      </c>
      <c r="AQ708" s="38">
        <f>1678565.67-R418</f>
        <v>-477430.37999999989</v>
      </c>
      <c r="AR708" s="25">
        <f t="shared" si="453"/>
        <v>477430.38</v>
      </c>
      <c r="AS708" s="25">
        <f>+(K708*10.5+L708*21)*12*30-S418</f>
        <v>0</v>
      </c>
      <c r="AT708" s="127">
        <f t="shared" si="465"/>
        <v>0</v>
      </c>
      <c r="AU708" s="127">
        <f>+P708-'[6]Приложение №1'!$P656</f>
        <v>0</v>
      </c>
      <c r="AV708" s="127">
        <f>+Q708-'[6]Приложение №1'!$Q656</f>
        <v>0</v>
      </c>
      <c r="AW708" s="88">
        <f t="shared" si="481"/>
        <v>18454975.689012323</v>
      </c>
      <c r="AX708" s="64">
        <v>10537075.366258001</v>
      </c>
      <c r="AY708" s="64">
        <v>3835013.4758320004</v>
      </c>
      <c r="AZ708" s="64"/>
      <c r="BA708" s="64">
        <v>2587058.6111860005</v>
      </c>
      <c r="BB708" s="64">
        <v>0</v>
      </c>
      <c r="BC708" s="64"/>
      <c r="BD708" s="64">
        <v>355628.19171599997</v>
      </c>
      <c r="BE708" s="64">
        <v>0</v>
      </c>
      <c r="BF708" s="64"/>
      <c r="BG708" s="64"/>
      <c r="BH708" s="64"/>
      <c r="BI708" s="64"/>
      <c r="BJ708" s="64"/>
      <c r="BK708" s="64"/>
      <c r="BL708" s="66">
        <v>1140200.0440203198</v>
      </c>
    </row>
    <row r="709" spans="1:65" x14ac:dyDescent="0.25">
      <c r="A709" s="141">
        <f t="shared" si="463"/>
        <v>690</v>
      </c>
      <c r="B709" s="142">
        <f t="shared" si="464"/>
        <v>232</v>
      </c>
      <c r="C709" s="62" t="s">
        <v>45</v>
      </c>
      <c r="D709" s="62" t="s">
        <v>832</v>
      </c>
      <c r="E709" s="123">
        <v>1977</v>
      </c>
      <c r="F709" s="123">
        <v>1977</v>
      </c>
      <c r="G709" s="123" t="s">
        <v>43</v>
      </c>
      <c r="H709" s="123">
        <v>4</v>
      </c>
      <c r="I709" s="123">
        <v>1</v>
      </c>
      <c r="J709" s="64">
        <v>1491.2</v>
      </c>
      <c r="K709" s="64">
        <v>1247.2</v>
      </c>
      <c r="L709" s="64">
        <v>130.5</v>
      </c>
      <c r="M709" s="124">
        <v>31</v>
      </c>
      <c r="N709" s="63">
        <f t="shared" si="484"/>
        <v>19313313.5727886</v>
      </c>
      <c r="O709" s="64"/>
      <c r="P709" s="65">
        <v>3961606.8484471501</v>
      </c>
      <c r="Q709" s="65"/>
      <c r="R709" s="65">
        <v>711225.82</v>
      </c>
      <c r="S709" s="65">
        <v>5700996</v>
      </c>
      <c r="T709" s="65">
        <f>+'Приложение №2'!E718-'Приложение №1'!P709-'Приложение №1'!R709-'Приложение №1'!S709</f>
        <v>8939484.90434145</v>
      </c>
      <c r="U709" s="65">
        <f t="shared" si="462"/>
        <v>15485.338015385343</v>
      </c>
      <c r="V709" s="65">
        <v>1377.2830200640001</v>
      </c>
      <c r="W709" s="126">
        <v>2024</v>
      </c>
      <c r="X709" s="127" t="e">
        <f>+#REF!-'[1]Приложение №1'!$P1556</f>
        <v>#REF!</v>
      </c>
      <c r="Z709" s="63">
        <f t="shared" si="483"/>
        <v>24547091.719999999</v>
      </c>
      <c r="AA709" s="64">
        <v>3823646.7931139995</v>
      </c>
      <c r="AB709" s="64">
        <v>1377432.691104</v>
      </c>
      <c r="AC709" s="64">
        <v>1464223.795434</v>
      </c>
      <c r="AD709" s="64">
        <v>926339.45652600005</v>
      </c>
      <c r="AE709" s="64">
        <v>0</v>
      </c>
      <c r="AF709" s="64"/>
      <c r="AG709" s="64">
        <v>129828.30785400001</v>
      </c>
      <c r="AH709" s="64">
        <v>0</v>
      </c>
      <c r="AI709" s="64">
        <v>7205871.6359640006</v>
      </c>
      <c r="AJ709" s="64">
        <v>887837.01690000005</v>
      </c>
      <c r="AK709" s="64">
        <v>3723413.4532499993</v>
      </c>
      <c r="AL709" s="64">
        <v>4008332.672693999</v>
      </c>
      <c r="AM709" s="64">
        <v>421405.55000000005</v>
      </c>
      <c r="AN709" s="64">
        <v>63836.770000000004</v>
      </c>
      <c r="AO709" s="66">
        <v>514923.57715999999</v>
      </c>
      <c r="AP709" s="128">
        <f>+N709-'Приложение №2'!E718</f>
        <v>0</v>
      </c>
      <c r="AQ709" s="38" t="e">
        <f>549697.6-#REF!</f>
        <v>#REF!</v>
      </c>
      <c r="AR709" s="25">
        <f t="shared" si="453"/>
        <v>161528.22</v>
      </c>
      <c r="AS709" s="25" t="e">
        <f>+(K709*10.5+L709*21)*12*30-#REF!</f>
        <v>#REF!</v>
      </c>
      <c r="AT709" s="127" t="e">
        <f t="shared" si="465"/>
        <v>#REF!</v>
      </c>
      <c r="AU709" s="127">
        <f>+P709-'[6]Приложение №1'!$P657</f>
        <v>0</v>
      </c>
      <c r="AV709" s="127">
        <f>+Q709-'[6]Приложение №1'!$Q657</f>
        <v>0</v>
      </c>
      <c r="AW709" s="88">
        <f t="shared" si="481"/>
        <v>19313313.5727886</v>
      </c>
      <c r="AX709" s="64">
        <v>3823646.7931139995</v>
      </c>
      <c r="AY709" s="64">
        <v>1377432.691104</v>
      </c>
      <c r="AZ709" s="64">
        <v>1464223.795434</v>
      </c>
      <c r="BA709" s="64">
        <v>926339.45652600005</v>
      </c>
      <c r="BB709" s="64">
        <v>0</v>
      </c>
      <c r="BC709" s="64"/>
      <c r="BD709" s="64">
        <v>129828.30785400001</v>
      </c>
      <c r="BE709" s="64">
        <v>0</v>
      </c>
      <c r="BF709" s="64">
        <v>7205871.6359640006</v>
      </c>
      <c r="BG709" s="64"/>
      <c r="BH709" s="64"/>
      <c r="BI709" s="64">
        <v>4008332.672693999</v>
      </c>
      <c r="BJ709" s="64"/>
      <c r="BK709" s="64"/>
      <c r="BL709" s="66">
        <v>377638.22009860002</v>
      </c>
    </row>
    <row r="710" spans="1:65" x14ac:dyDescent="0.25">
      <c r="A710" s="141">
        <f t="shared" si="463"/>
        <v>691</v>
      </c>
      <c r="B710" s="142">
        <f t="shared" si="464"/>
        <v>233</v>
      </c>
      <c r="C710" s="62" t="s">
        <v>45</v>
      </c>
      <c r="D710" s="62" t="s">
        <v>833</v>
      </c>
      <c r="E710" s="123">
        <v>1979</v>
      </c>
      <c r="F710" s="123">
        <v>1979</v>
      </c>
      <c r="G710" s="123" t="s">
        <v>43</v>
      </c>
      <c r="H710" s="123">
        <v>5</v>
      </c>
      <c r="I710" s="123">
        <v>4</v>
      </c>
      <c r="J710" s="64">
        <v>3568.8</v>
      </c>
      <c r="K710" s="64">
        <v>2956.3</v>
      </c>
      <c r="L710" s="64">
        <v>398.4</v>
      </c>
      <c r="M710" s="124">
        <v>89</v>
      </c>
      <c r="N710" s="63">
        <f t="shared" si="484"/>
        <v>46230178.072141834</v>
      </c>
      <c r="O710" s="64"/>
      <c r="P710" s="65">
        <v>6585721.5913083674</v>
      </c>
      <c r="Q710" s="65"/>
      <c r="R710" s="65">
        <f t="shared" si="489"/>
        <v>2046209.08</v>
      </c>
      <c r="S710" s="65">
        <f t="shared" si="482"/>
        <v>14186718.000000002</v>
      </c>
      <c r="T710" s="65">
        <f>+'Приложение №2'!E719-'Приложение №1'!P710-'Приложение №1'!R710-'Приложение №1'!S710</f>
        <v>23411529.400833465</v>
      </c>
      <c r="U710" s="65">
        <f t="shared" si="462"/>
        <v>15637.8507161458</v>
      </c>
      <c r="V710" s="65">
        <v>1378.2830200640001</v>
      </c>
      <c r="W710" s="126">
        <v>2024</v>
      </c>
      <c r="X710" s="127" t="e">
        <f>+#REF!-'[1]Приложение №1'!$P1557</f>
        <v>#REF!</v>
      </c>
      <c r="Z710" s="63">
        <f t="shared" si="483"/>
        <v>58415569.579999998</v>
      </c>
      <c r="AA710" s="64">
        <v>9150018.9223740008</v>
      </c>
      <c r="AB710" s="64">
        <v>3322771.2370799994</v>
      </c>
      <c r="AC710" s="64">
        <v>3507760.1149860001</v>
      </c>
      <c r="AD710" s="64">
        <v>2240831.5174499997</v>
      </c>
      <c r="AE710" s="64">
        <v>0</v>
      </c>
      <c r="AF710" s="64"/>
      <c r="AG710" s="64">
        <v>308956.957092</v>
      </c>
      <c r="AH710" s="64">
        <v>0</v>
      </c>
      <c r="AI710" s="64">
        <v>17090431.012025997</v>
      </c>
      <c r="AJ710" s="64">
        <v>2174763.3641519998</v>
      </c>
      <c r="AK710" s="64">
        <v>8910518.0415660013</v>
      </c>
      <c r="AL710" s="64">
        <v>9620247.9809520002</v>
      </c>
      <c r="AM710" s="64">
        <v>780893.53</v>
      </c>
      <c r="AN710" s="64">
        <v>76634.820000000007</v>
      </c>
      <c r="AO710" s="66">
        <v>1231742.0823220001</v>
      </c>
      <c r="AP710" s="128">
        <f>+N710-'Приложение №2'!E719</f>
        <v>0</v>
      </c>
      <c r="AQ710" s="38">
        <v>1644252.07</v>
      </c>
      <c r="AR710" s="25">
        <f t="shared" si="453"/>
        <v>401957.01</v>
      </c>
      <c r="AS710" s="25">
        <f t="shared" si="490"/>
        <v>14186718.000000002</v>
      </c>
      <c r="AT710" s="127">
        <f t="shared" si="465"/>
        <v>0</v>
      </c>
      <c r="AU710" s="127">
        <f>+P710-'[6]Приложение №1'!$P658</f>
        <v>0</v>
      </c>
      <c r="AV710" s="127">
        <f>+Q710-'[6]Приложение №1'!$Q658</f>
        <v>0</v>
      </c>
      <c r="AW710" s="88">
        <f t="shared" si="481"/>
        <v>46230178.072141834</v>
      </c>
      <c r="AX710" s="64">
        <v>9150018.9223740008</v>
      </c>
      <c r="AY710" s="64">
        <v>3322771.2370799994</v>
      </c>
      <c r="AZ710" s="64">
        <v>3507760.1149860001</v>
      </c>
      <c r="BA710" s="64">
        <v>2240831.5174499997</v>
      </c>
      <c r="BB710" s="64">
        <v>0</v>
      </c>
      <c r="BC710" s="64"/>
      <c r="BD710" s="64">
        <v>308956.957092</v>
      </c>
      <c r="BE710" s="64">
        <v>0</v>
      </c>
      <c r="BF710" s="64">
        <v>17090431.012025997</v>
      </c>
      <c r="BG710" s="64"/>
      <c r="BH710" s="64"/>
      <c r="BI710" s="64">
        <v>9620247.9809520002</v>
      </c>
      <c r="BJ710" s="64"/>
      <c r="BK710" s="64"/>
      <c r="BL710" s="66">
        <v>989160.33018183988</v>
      </c>
    </row>
    <row r="711" spans="1:65" x14ac:dyDescent="0.25">
      <c r="A711" s="141">
        <f t="shared" si="463"/>
        <v>692</v>
      </c>
      <c r="B711" s="142">
        <f t="shared" si="464"/>
        <v>234</v>
      </c>
      <c r="C711" s="62" t="s">
        <v>45</v>
      </c>
      <c r="D711" s="62" t="s">
        <v>834</v>
      </c>
      <c r="E711" s="123">
        <v>1975</v>
      </c>
      <c r="F711" s="123">
        <v>1975</v>
      </c>
      <c r="G711" s="123" t="s">
        <v>43</v>
      </c>
      <c r="H711" s="123">
        <v>4</v>
      </c>
      <c r="I711" s="123">
        <v>1</v>
      </c>
      <c r="J711" s="64">
        <v>1425.2</v>
      </c>
      <c r="K711" s="64">
        <v>1131.8</v>
      </c>
      <c r="L711" s="64">
        <v>129.9</v>
      </c>
      <c r="M711" s="124">
        <v>56</v>
      </c>
      <c r="N711" s="63">
        <f t="shared" si="484"/>
        <v>4154315.5242829402</v>
      </c>
      <c r="O711" s="64"/>
      <c r="P711" s="65">
        <v>3367479.3183452347</v>
      </c>
      <c r="Q711" s="65"/>
      <c r="R711" s="65">
        <f>+AR711</f>
        <v>149040.35999999999</v>
      </c>
      <c r="S711" s="65">
        <f t="shared" si="482"/>
        <v>0</v>
      </c>
      <c r="T711" s="65">
        <f>+'Приложение №2'!E720-'Приложение №1'!P711-'Приложение №1'!R711-'Приложение №1'!S711</f>
        <v>637795.84593770548</v>
      </c>
      <c r="U711" s="65">
        <f t="shared" si="462"/>
        <v>3670.5385441623434</v>
      </c>
      <c r="V711" s="65">
        <v>1379.2830200640001</v>
      </c>
      <c r="W711" s="126">
        <v>2024</v>
      </c>
      <c r="X711" s="127" t="e">
        <f>+#REF!-'[1]Приложение №1'!$P1558</f>
        <v>#REF!</v>
      </c>
      <c r="Z711" s="63">
        <f t="shared" si="483"/>
        <v>23375883.600000001</v>
      </c>
      <c r="AA711" s="64">
        <v>3639720.4511280004</v>
      </c>
      <c r="AB711" s="64">
        <v>1310198.586234</v>
      </c>
      <c r="AC711" s="64">
        <v>1393886.8533300001</v>
      </c>
      <c r="AD711" s="64">
        <v>881139.78326399997</v>
      </c>
      <c r="AE711" s="64">
        <v>0</v>
      </c>
      <c r="AF711" s="64"/>
      <c r="AG711" s="64">
        <v>123633.848142</v>
      </c>
      <c r="AH711" s="64">
        <v>0</v>
      </c>
      <c r="AI711" s="64">
        <v>6816774.9733499996</v>
      </c>
      <c r="AJ711" s="64">
        <v>840779.69661599991</v>
      </c>
      <c r="AK711" s="64">
        <v>3546979.2826500004</v>
      </c>
      <c r="AL711" s="64">
        <v>3815904.5950200004</v>
      </c>
      <c r="AM711" s="64">
        <v>455993.49</v>
      </c>
      <c r="AN711" s="64">
        <v>61706.92</v>
      </c>
      <c r="AO711" s="66">
        <v>489165.12026600004</v>
      </c>
      <c r="AP711" s="128">
        <f>+N711-'Приложение №2'!E720</f>
        <v>0</v>
      </c>
      <c r="AQ711" s="38">
        <f>575076.49-R422</f>
        <v>-149040.35999999999</v>
      </c>
      <c r="AR711" s="25">
        <f t="shared" si="453"/>
        <v>149040.35999999999</v>
      </c>
      <c r="AS711" s="25">
        <f>+(K711*10.5+L711*21)*12*30-S422</f>
        <v>0</v>
      </c>
      <c r="AT711" s="127">
        <f t="shared" si="465"/>
        <v>0</v>
      </c>
      <c r="AU711" s="127">
        <f>+P711-'[6]Приложение №1'!$P659</f>
        <v>0</v>
      </c>
      <c r="AV711" s="127">
        <f>+Q711-'[6]Приложение №1'!$Q659</f>
        <v>0</v>
      </c>
      <c r="AW711" s="88">
        <f t="shared" si="481"/>
        <v>4154315.5242829402</v>
      </c>
      <c r="AX711" s="64">
        <v>3639720.4511280004</v>
      </c>
      <c r="AY711" s="64"/>
      <c r="AZ711" s="64"/>
      <c r="BA711" s="64"/>
      <c r="BB711" s="64">
        <v>0</v>
      </c>
      <c r="BC711" s="64"/>
      <c r="BD711" s="64">
        <v>123633.848142</v>
      </c>
      <c r="BE711" s="64">
        <v>0</v>
      </c>
      <c r="BF711" s="64"/>
      <c r="BG711" s="64"/>
      <c r="BH711" s="64"/>
      <c r="BI711" s="64"/>
      <c r="BJ711" s="64"/>
      <c r="BK711" s="64"/>
      <c r="BL711" s="66">
        <v>390961.22501294001</v>
      </c>
    </row>
    <row r="712" spans="1:65" x14ac:dyDescent="0.25">
      <c r="A712" s="141">
        <f t="shared" si="463"/>
        <v>693</v>
      </c>
      <c r="B712" s="142">
        <f t="shared" si="464"/>
        <v>235</v>
      </c>
      <c r="C712" s="62" t="s">
        <v>46</v>
      </c>
      <c r="D712" s="62" t="s">
        <v>852</v>
      </c>
      <c r="E712" s="123">
        <v>1967</v>
      </c>
      <c r="F712" s="123">
        <v>2010</v>
      </c>
      <c r="G712" s="123" t="s">
        <v>43</v>
      </c>
      <c r="H712" s="123">
        <v>4</v>
      </c>
      <c r="I712" s="123">
        <v>6</v>
      </c>
      <c r="J712" s="64">
        <v>4129.8999999999996</v>
      </c>
      <c r="K712" s="64">
        <v>3028.01</v>
      </c>
      <c r="L712" s="64">
        <v>1016.7</v>
      </c>
      <c r="M712" s="124">
        <v>153</v>
      </c>
      <c r="N712" s="63">
        <f t="shared" si="484"/>
        <v>24641314.833105586</v>
      </c>
      <c r="O712" s="64"/>
      <c r="P712" s="65">
        <v>2833048.3496888997</v>
      </c>
      <c r="Q712" s="65"/>
      <c r="R712" s="65">
        <f t="shared" si="489"/>
        <v>1590558.341</v>
      </c>
      <c r="S712" s="65">
        <f t="shared" si="482"/>
        <v>15731823.930000003</v>
      </c>
      <c r="T712" s="65">
        <f>+'Приложение №2'!E721-'Приложение №1'!P712-'Приложение №1'!R712-'Приложение №1'!S712</f>
        <v>4485884.2124166824</v>
      </c>
      <c r="U712" s="65">
        <f t="shared" si="462"/>
        <v>8137.7917619511118</v>
      </c>
      <c r="V712" s="65">
        <v>1380.2830200640001</v>
      </c>
      <c r="W712" s="126">
        <v>2024</v>
      </c>
      <c r="X712" s="127" t="e">
        <f>+#REF!-'[1]Приложение №1'!$P819</f>
        <v>#REF!</v>
      </c>
      <c r="Z712" s="63">
        <f t="shared" si="483"/>
        <v>74428273.170000002</v>
      </c>
      <c r="AA712" s="64">
        <v>10992944.493307142</v>
      </c>
      <c r="AB712" s="64">
        <v>4031142.10588698</v>
      </c>
      <c r="AC712" s="64">
        <v>4211597.53865634</v>
      </c>
      <c r="AD712" s="64">
        <v>2636776.0742307599</v>
      </c>
      <c r="AE712" s="64">
        <v>0</v>
      </c>
      <c r="AF712" s="64"/>
      <c r="AG712" s="64">
        <v>362907.99124439992</v>
      </c>
      <c r="AH712" s="64">
        <v>0</v>
      </c>
      <c r="AI712" s="64">
        <v>20681273.964065399</v>
      </c>
      <c r="AJ712" s="64">
        <v>0</v>
      </c>
      <c r="AK712" s="64">
        <v>10737851.5117629</v>
      </c>
      <c r="AL712" s="64">
        <v>11581851.384142619</v>
      </c>
      <c r="AM712" s="64">
        <v>7021058.6343999999</v>
      </c>
      <c r="AN712" s="65">
        <v>744282.7317</v>
      </c>
      <c r="AO712" s="66">
        <v>1426586.74060346</v>
      </c>
      <c r="AP712" s="128">
        <f>+N712-'Приложение №2'!E721</f>
        <v>0</v>
      </c>
      <c r="AQ712" s="23">
        <f>2238292.29-1189810.96</f>
        <v>1048481.3300000001</v>
      </c>
      <c r="AR712" s="25">
        <f t="shared" si="453"/>
        <v>542077.01100000006</v>
      </c>
      <c r="AS712" s="25">
        <f>+(K712*10.5+L712*21)*12*30-3400305.87</f>
        <v>15731823.930000003</v>
      </c>
      <c r="AT712" s="127">
        <f t="shared" si="465"/>
        <v>0</v>
      </c>
      <c r="AU712" s="127">
        <f>+P712-'[6]Приложение №1'!$P660</f>
        <v>0</v>
      </c>
      <c r="AV712" s="127">
        <f>+Q712-'[6]Приложение №1'!$Q660</f>
        <v>0</v>
      </c>
      <c r="AW712" s="88">
        <f t="shared" si="481"/>
        <v>24641314.833105583</v>
      </c>
      <c r="AX712" s="64">
        <v>11569017.916302199</v>
      </c>
      <c r="AY712" s="64">
        <v>0</v>
      </c>
      <c r="AZ712" s="64">
        <v>0</v>
      </c>
      <c r="BA712" s="64">
        <v>0</v>
      </c>
      <c r="BB712" s="64">
        <v>0</v>
      </c>
      <c r="BC712" s="64"/>
      <c r="BD712" s="64">
        <v>381912.63386907097</v>
      </c>
      <c r="BE712" s="64">
        <v>0</v>
      </c>
      <c r="BF712" s="64">
        <v>0</v>
      </c>
      <c r="BG712" s="64">
        <v>0</v>
      </c>
      <c r="BH712" s="64">
        <v>0</v>
      </c>
      <c r="BI712" s="64">
        <v>12188783.156028476</v>
      </c>
      <c r="BJ712" s="64"/>
      <c r="BK712" s="65"/>
      <c r="BL712" s="66">
        <v>501601.12690584006</v>
      </c>
    </row>
    <row r="713" spans="1:65" x14ac:dyDescent="0.25">
      <c r="A713" s="141">
        <f t="shared" si="463"/>
        <v>694</v>
      </c>
      <c r="B713" s="142">
        <f t="shared" si="464"/>
        <v>236</v>
      </c>
      <c r="C713" s="62" t="s">
        <v>46</v>
      </c>
      <c r="D713" s="62" t="s">
        <v>1148</v>
      </c>
      <c r="E713" s="123">
        <v>1986</v>
      </c>
      <c r="F713" s="123">
        <v>2013</v>
      </c>
      <c r="G713" s="123" t="s">
        <v>43</v>
      </c>
      <c r="H713" s="123">
        <v>9</v>
      </c>
      <c r="I713" s="123">
        <v>1</v>
      </c>
      <c r="J713" s="64">
        <v>2272.3000000000002</v>
      </c>
      <c r="K713" s="64">
        <v>2002.9</v>
      </c>
      <c r="L713" s="64">
        <v>0</v>
      </c>
      <c r="M713" s="124">
        <v>70</v>
      </c>
      <c r="N713" s="63">
        <f t="shared" si="484"/>
        <v>7582731.1905000005</v>
      </c>
      <c r="O713" s="64"/>
      <c r="P713" s="65">
        <v>1384418.6154499999</v>
      </c>
      <c r="Q713" s="65"/>
      <c r="R713" s="65">
        <f t="shared" si="489"/>
        <v>1165473.9609999997</v>
      </c>
      <c r="S713" s="65">
        <f>+AS713</f>
        <v>3715229.6399999987</v>
      </c>
      <c r="T713" s="65">
        <f>+'Приложение №2'!E722-'Приложение №1'!P713-'Приложение №1'!Q713-'Приложение №1'!R713-'Приложение №1'!S713</f>
        <v>1317608.9740500022</v>
      </c>
      <c r="U713" s="65">
        <f t="shared" si="462"/>
        <v>3785.876074941335</v>
      </c>
      <c r="V713" s="65">
        <v>1381.2830200640001</v>
      </c>
      <c r="W713" s="126">
        <v>2024</v>
      </c>
      <c r="X713" s="127" t="e">
        <f>+#REF!-'[1]Приложение №1'!$P1527</f>
        <v>#REF!</v>
      </c>
      <c r="Z713" s="63">
        <f t="shared" si="483"/>
        <v>21594584.64801088</v>
      </c>
      <c r="AA713" s="64">
        <v>4631599.4465777399</v>
      </c>
      <c r="AB713" s="64"/>
      <c r="AC713" s="64">
        <v>1934925.9339127201</v>
      </c>
      <c r="AD713" s="64">
        <v>1745759.1417302401</v>
      </c>
      <c r="AE713" s="64">
        <v>0</v>
      </c>
      <c r="AF713" s="64"/>
      <c r="AG713" s="64">
        <v>222817.11301919998</v>
      </c>
      <c r="AH713" s="64">
        <v>0</v>
      </c>
      <c r="AI713" s="64">
        <v>2259410.2166411998</v>
      </c>
      <c r="AJ713" s="64">
        <v>0</v>
      </c>
      <c r="AK713" s="64"/>
      <c r="AL713" s="64">
        <v>5158377.8738793004</v>
      </c>
      <c r="AM713" s="64">
        <v>4350496.0856000008</v>
      </c>
      <c r="AN713" s="65">
        <v>443884.90120000008</v>
      </c>
      <c r="AO713" s="66">
        <v>847313.93545048009</v>
      </c>
      <c r="AP713" s="128">
        <f>+N713-'Приложение №2'!E722</f>
        <v>0</v>
      </c>
      <c r="AQ713" s="127">
        <v>880481.31999999983</v>
      </c>
      <c r="AR713" s="25">
        <f t="shared" ref="AR713:AR718" si="491">+(K713*13.95+L713*23.65)*12*0.85</f>
        <v>284992.64099999995</v>
      </c>
      <c r="AS713" s="25">
        <f>+(K713*13.95+L713*23.65)*12*30-6343334.16</f>
        <v>3715229.6399999987</v>
      </c>
      <c r="AT713" s="127">
        <f t="shared" si="465"/>
        <v>0</v>
      </c>
      <c r="AU713" s="127">
        <f>+P713-'[6]Приложение №1'!$P661</f>
        <v>0</v>
      </c>
      <c r="AV713" s="127">
        <f>+Q713-'[6]Приложение №1'!$Q661</f>
        <v>0</v>
      </c>
      <c r="AW713" s="88">
        <f t="shared" si="481"/>
        <v>7582731.1905000005</v>
      </c>
      <c r="AX713" s="64"/>
      <c r="AY713" s="64"/>
      <c r="AZ713" s="64">
        <v>436138.45</v>
      </c>
      <c r="BA713" s="64">
        <v>1875411.59</v>
      </c>
      <c r="BB713" s="64">
        <v>0</v>
      </c>
      <c r="BC713" s="64"/>
      <c r="BD713" s="64"/>
      <c r="BE713" s="64">
        <v>0</v>
      </c>
      <c r="BF713" s="64"/>
      <c r="BG713" s="64">
        <v>0</v>
      </c>
      <c r="BH713" s="64"/>
      <c r="BI713" s="64">
        <v>5158377.8738793004</v>
      </c>
      <c r="BJ713" s="64"/>
      <c r="BK713" s="65"/>
      <c r="BL713" s="66">
        <v>112803.27662070002</v>
      </c>
    </row>
    <row r="714" spans="1:65" x14ac:dyDescent="0.25">
      <c r="A714" s="141">
        <f t="shared" si="463"/>
        <v>695</v>
      </c>
      <c r="B714" s="142">
        <f t="shared" si="464"/>
        <v>237</v>
      </c>
      <c r="C714" s="62" t="s">
        <v>46</v>
      </c>
      <c r="D714" s="62" t="s">
        <v>1149</v>
      </c>
      <c r="E714" s="123">
        <v>1999</v>
      </c>
      <c r="F714" s="123">
        <v>2006</v>
      </c>
      <c r="G714" s="123" t="s">
        <v>43</v>
      </c>
      <c r="H714" s="123">
        <v>9</v>
      </c>
      <c r="I714" s="123">
        <v>2</v>
      </c>
      <c r="J714" s="64">
        <v>4762.8999999999996</v>
      </c>
      <c r="K714" s="64">
        <v>4203.6000000000004</v>
      </c>
      <c r="L714" s="64">
        <v>0</v>
      </c>
      <c r="M714" s="124">
        <v>167</v>
      </c>
      <c r="N714" s="63">
        <f t="shared" si="484"/>
        <v>8542100</v>
      </c>
      <c r="O714" s="64"/>
      <c r="P714" s="65"/>
      <c r="Q714" s="65"/>
      <c r="R714" s="65">
        <f t="shared" si="489"/>
        <v>3422359.1039999998</v>
      </c>
      <c r="S714" s="65">
        <f>+'Приложение №2'!E723-'Приложение №1'!R714</f>
        <v>5119740.8959999997</v>
      </c>
      <c r="T714" s="65"/>
      <c r="U714" s="65">
        <f t="shared" si="462"/>
        <v>2032.0915405842609</v>
      </c>
      <c r="V714" s="65">
        <v>1382.2830200640001</v>
      </c>
      <c r="W714" s="126">
        <v>2024</v>
      </c>
      <c r="X714" s="127"/>
      <c r="Z714" s="63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  <c r="AL714" s="64"/>
      <c r="AM714" s="64"/>
      <c r="AN714" s="65"/>
      <c r="AO714" s="66"/>
      <c r="AP714" s="128">
        <f>+N714-'Приложение №2'!E723</f>
        <v>0</v>
      </c>
      <c r="AQ714" s="38">
        <v>2824228.86</v>
      </c>
      <c r="AR714" s="25">
        <f t="shared" si="491"/>
        <v>598130.24399999995</v>
      </c>
      <c r="AS714" s="25">
        <f>+(K714*13.95+L714*23.65)*12*30</f>
        <v>21110479.199999999</v>
      </c>
      <c r="AT714" s="127">
        <f t="shared" si="465"/>
        <v>-15990738.304</v>
      </c>
      <c r="AU714" s="127">
        <f>+P714-'[6]Приложение №1'!$P662</f>
        <v>0</v>
      </c>
      <c r="AV714" s="127">
        <f>+Q714-'[6]Приложение №1'!$Q662</f>
        <v>0</v>
      </c>
      <c r="AW714" s="88">
        <f t="shared" si="481"/>
        <v>8542100</v>
      </c>
      <c r="AX714" s="64"/>
      <c r="AY714" s="64"/>
      <c r="AZ714" s="64"/>
      <c r="BA714" s="64"/>
      <c r="BB714" s="64"/>
      <c r="BC714" s="64"/>
      <c r="BD714" s="64"/>
      <c r="BE714" s="64">
        <v>8024927.0976</v>
      </c>
      <c r="BF714" s="64"/>
      <c r="BG714" s="64"/>
      <c r="BH714" s="64"/>
      <c r="BI714" s="64"/>
      <c r="BJ714" s="64">
        <v>256263</v>
      </c>
      <c r="BK714" s="65">
        <v>85421</v>
      </c>
      <c r="BL714" s="66">
        <v>175488.90240000002</v>
      </c>
    </row>
    <row r="715" spans="1:65" s="74" customFormat="1" x14ac:dyDescent="0.25">
      <c r="A715" s="141">
        <f t="shared" si="463"/>
        <v>696</v>
      </c>
      <c r="B715" s="142">
        <f t="shared" si="464"/>
        <v>238</v>
      </c>
      <c r="C715" s="62" t="s">
        <v>46</v>
      </c>
      <c r="D715" s="62" t="s">
        <v>1150</v>
      </c>
      <c r="E715" s="123" t="s">
        <v>103</v>
      </c>
      <c r="F715" s="123"/>
      <c r="G715" s="123" t="s">
        <v>43</v>
      </c>
      <c r="H715" s="123" t="s">
        <v>97</v>
      </c>
      <c r="I715" s="123" t="s">
        <v>98</v>
      </c>
      <c r="J715" s="64">
        <v>4698.7</v>
      </c>
      <c r="K715" s="64">
        <v>4088</v>
      </c>
      <c r="L715" s="64">
        <v>0</v>
      </c>
      <c r="M715" s="124">
        <v>152</v>
      </c>
      <c r="N715" s="63">
        <f t="shared" si="484"/>
        <v>13997623.099123999</v>
      </c>
      <c r="O715" s="64">
        <v>0</v>
      </c>
      <c r="P715" s="65">
        <v>0</v>
      </c>
      <c r="Q715" s="65">
        <v>0</v>
      </c>
      <c r="R715" s="65">
        <f t="shared" si="489"/>
        <v>3479298.62</v>
      </c>
      <c r="S715" s="65">
        <f>+'Приложение №2'!E724-'Приложение №1'!P715-'Приложение №1'!R715</f>
        <v>10518324.479123998</v>
      </c>
      <c r="T715" s="65">
        <v>0</v>
      </c>
      <c r="U715" s="65">
        <f t="shared" si="462"/>
        <v>3424.0761005684931</v>
      </c>
      <c r="V715" s="65">
        <v>1383.2830200640001</v>
      </c>
      <c r="W715" s="126">
        <v>2024</v>
      </c>
      <c r="X715" s="74">
        <v>1703986.46</v>
      </c>
      <c r="Y715" s="74">
        <f>+(K715*12.08+L715*20.47)*12</f>
        <v>592596.47999999998</v>
      </c>
      <c r="AA715" s="129">
        <f>+N715-'[5]Приложение № 2'!E629</f>
        <v>-47871812.97791215</v>
      </c>
      <c r="AD715" s="129">
        <f>+N715-'[5]Приложение № 2'!E629</f>
        <v>-47871812.97791215</v>
      </c>
      <c r="AP715" s="128">
        <f>+N715-'Приложение №2'!E724</f>
        <v>0</v>
      </c>
      <c r="AQ715" s="143">
        <f>2897617.1</f>
        <v>2897617.1</v>
      </c>
      <c r="AR715" s="25">
        <f t="shared" si="491"/>
        <v>581681.5199999999</v>
      </c>
      <c r="AS715" s="25">
        <f>+(K715*13.95+L715*23.65)*12*30</f>
        <v>20529936</v>
      </c>
      <c r="AT715" s="127">
        <f t="shared" si="465"/>
        <v>-10011611.520876002</v>
      </c>
      <c r="AU715" s="127">
        <f>+P715-'[6]Приложение №1'!$P663</f>
        <v>0</v>
      </c>
      <c r="AV715" s="127">
        <f>+Q715-'[6]Приложение №1'!$Q663</f>
        <v>0</v>
      </c>
      <c r="AW715" s="88">
        <f t="shared" si="481"/>
        <v>13997623.099123999</v>
      </c>
      <c r="AX715" s="64"/>
      <c r="AY715" s="64"/>
      <c r="AZ715" s="64">
        <v>5455523.0991239995</v>
      </c>
      <c r="BA715" s="64"/>
      <c r="BB715" s="64"/>
      <c r="BC715" s="64"/>
      <c r="BD715" s="64"/>
      <c r="BE715" s="64">
        <v>8024927.0976</v>
      </c>
      <c r="BF715" s="64"/>
      <c r="BG715" s="64"/>
      <c r="BH715" s="64"/>
      <c r="BI715" s="64"/>
      <c r="BJ715" s="64">
        <v>256263</v>
      </c>
      <c r="BK715" s="65">
        <v>85421</v>
      </c>
      <c r="BL715" s="66">
        <v>175488.90240000002</v>
      </c>
    </row>
    <row r="716" spans="1:65" x14ac:dyDescent="0.25">
      <c r="A716" s="141">
        <f t="shared" si="463"/>
        <v>697</v>
      </c>
      <c r="B716" s="142">
        <f t="shared" si="464"/>
        <v>239</v>
      </c>
      <c r="C716" s="62" t="s">
        <v>46</v>
      </c>
      <c r="D716" s="62" t="s">
        <v>853</v>
      </c>
      <c r="E716" s="123">
        <v>1994</v>
      </c>
      <c r="F716" s="123">
        <v>2015</v>
      </c>
      <c r="G716" s="123" t="s">
        <v>43</v>
      </c>
      <c r="H716" s="123">
        <v>9</v>
      </c>
      <c r="I716" s="123">
        <v>4</v>
      </c>
      <c r="J716" s="64">
        <v>9059.2999999999993</v>
      </c>
      <c r="K716" s="64">
        <v>7958.2</v>
      </c>
      <c r="L716" s="64">
        <v>49</v>
      </c>
      <c r="M716" s="124">
        <v>376</v>
      </c>
      <c r="N716" s="63">
        <f t="shared" si="484"/>
        <v>50908301.768257409</v>
      </c>
      <c r="O716" s="64"/>
      <c r="P716" s="65">
        <v>5879369.04</v>
      </c>
      <c r="Q716" s="65"/>
      <c r="R716" s="65">
        <v>2578338.44</v>
      </c>
      <c r="S716" s="65">
        <v>11338783.16</v>
      </c>
      <c r="T716" s="65">
        <f>+'Приложение №2'!E725-'Приложение №1'!P716-'Приложение №1'!Q716-'Приложение №1'!R716-'Приложение №1'!S716</f>
        <v>31111811.128257405</v>
      </c>
      <c r="U716" s="65">
        <f t="shared" si="462"/>
        <v>6396.9618466810853</v>
      </c>
      <c r="V716" s="65">
        <v>1384.2830200640001</v>
      </c>
      <c r="W716" s="126">
        <v>2024</v>
      </c>
      <c r="X716" s="127" t="e">
        <f>+#REF!-'[1]Приложение №1'!$P821</f>
        <v>#REF!</v>
      </c>
      <c r="Z716" s="63">
        <f t="shared" ref="Z716:Z725" si="492">SUM(AA716:AO716)</f>
        <v>167033614.96000001</v>
      </c>
      <c r="AA716" s="64">
        <v>18497723.436858121</v>
      </c>
      <c r="AB716" s="64">
        <v>12695079.720886501</v>
      </c>
      <c r="AC716" s="64">
        <v>7727724.5646585599</v>
      </c>
      <c r="AD716" s="64">
        <v>6972228.5386101594</v>
      </c>
      <c r="AE716" s="64">
        <v>0</v>
      </c>
      <c r="AF716" s="64"/>
      <c r="AG716" s="64">
        <v>889888.98620159982</v>
      </c>
      <c r="AH716" s="64">
        <v>0</v>
      </c>
      <c r="AI716" s="64">
        <v>0</v>
      </c>
      <c r="AJ716" s="64">
        <v>0</v>
      </c>
      <c r="AK716" s="64">
        <v>78339424.591046214</v>
      </c>
      <c r="AL716" s="64">
        <v>20601575.841979437</v>
      </c>
      <c r="AM716" s="64">
        <v>16452952.139400002</v>
      </c>
      <c r="AN716" s="65">
        <v>1670336.1496000004</v>
      </c>
      <c r="AO716" s="66">
        <v>3186680.9907594007</v>
      </c>
      <c r="AP716" s="128">
        <f>+N716-'Приложение №2'!E725</f>
        <v>0</v>
      </c>
      <c r="AQ716" s="38">
        <f>5650783.47-5939473.29-R425</f>
        <v>-3166362.0800000005</v>
      </c>
      <c r="AR716" s="25">
        <f t="shared" si="491"/>
        <v>1144192.548</v>
      </c>
      <c r="AS716" s="25">
        <f>+(K716*13.95+L716*23.65)*12*30-S425</f>
        <v>14484216.069999997</v>
      </c>
      <c r="AT716" s="127">
        <f t="shared" si="465"/>
        <v>-3145432.9099999964</v>
      </c>
      <c r="AU716" s="127">
        <f>+P716-'[6]Приложение №1'!$P664</f>
        <v>-14168917.591156878</v>
      </c>
      <c r="AV716" s="127">
        <f>+Q716-'[6]Приложение №1'!$Q664</f>
        <v>0</v>
      </c>
      <c r="AW716" s="88">
        <f t="shared" si="481"/>
        <v>50908301.768257402</v>
      </c>
      <c r="AX716" s="64">
        <v>18516250.189579763</v>
      </c>
      <c r="AY716" s="64">
        <v>12707765.989702664</v>
      </c>
      <c r="AZ716" s="64"/>
      <c r="BA716" s="64">
        <v>7854168.2699999996</v>
      </c>
      <c r="BB716" s="64">
        <v>0</v>
      </c>
      <c r="BC716" s="64"/>
      <c r="BD716" s="64">
        <v>890798.91763439786</v>
      </c>
      <c r="BE716" s="64">
        <v>8024927.0976</v>
      </c>
      <c r="BF716" s="64">
        <v>0</v>
      </c>
      <c r="BG716" s="64">
        <v>0</v>
      </c>
      <c r="BH716" s="64"/>
      <c r="BI716" s="64">
        <v>0</v>
      </c>
      <c r="BJ716" s="64"/>
      <c r="BK716" s="65"/>
      <c r="BL716" s="66">
        <v>2914391.3037405843</v>
      </c>
    </row>
    <row r="717" spans="1:65" x14ac:dyDescent="0.25">
      <c r="A717" s="141">
        <f t="shared" si="463"/>
        <v>698</v>
      </c>
      <c r="B717" s="142">
        <f t="shared" si="464"/>
        <v>240</v>
      </c>
      <c r="C717" s="62" t="s">
        <v>46</v>
      </c>
      <c r="D717" s="62" t="s">
        <v>261</v>
      </c>
      <c r="E717" s="123">
        <v>1974</v>
      </c>
      <c r="F717" s="123">
        <v>2004</v>
      </c>
      <c r="G717" s="123" t="s">
        <v>43</v>
      </c>
      <c r="H717" s="123">
        <v>9</v>
      </c>
      <c r="I717" s="123">
        <v>1</v>
      </c>
      <c r="J717" s="64">
        <v>2145.6</v>
      </c>
      <c r="K717" s="64">
        <v>1882.91</v>
      </c>
      <c r="L717" s="64">
        <v>0</v>
      </c>
      <c r="M717" s="124">
        <v>77</v>
      </c>
      <c r="N717" s="95">
        <f>+P717+Q717+R717+S717+T717</f>
        <v>14592894.304800002</v>
      </c>
      <c r="O717" s="64"/>
      <c r="P717" s="65">
        <v>1633456.4588733336</v>
      </c>
      <c r="Q717" s="65"/>
      <c r="R717" s="65">
        <f>+AQ717+AR717</f>
        <v>1074656.2037799999</v>
      </c>
      <c r="S717" s="65">
        <f>+AS717</f>
        <v>9008594.6039999984</v>
      </c>
      <c r="T717" s="65">
        <f>+'Приложение №2'!E726-'Приложение №1'!P717-'Приложение №1'!Q717-'Приложение №1'!R717-'Приложение №1'!S717</f>
        <v>2876187.038146669</v>
      </c>
      <c r="U717" s="64">
        <f>$N717/($K717+$L717)</f>
        <v>7750.1815300784428</v>
      </c>
      <c r="V717" s="64">
        <f>$N717/($K717+$L717)</f>
        <v>7750.1815300784428</v>
      </c>
      <c r="W717" s="126">
        <v>2024</v>
      </c>
      <c r="X717" s="127" t="e">
        <f>+#REF!-'[1]Приложение №1'!$P1581</f>
        <v>#REF!</v>
      </c>
      <c r="Z717" s="63">
        <f>SUM(AA717:AO717)</f>
        <v>14974764.26</v>
      </c>
      <c r="AA717" s="64">
        <v>4349966.5649949601</v>
      </c>
      <c r="AB717" s="64">
        <v>2985403.71589782</v>
      </c>
      <c r="AC717" s="64">
        <v>1817269.2196583401</v>
      </c>
      <c r="AD717" s="64">
        <v>1639605.0614672401</v>
      </c>
      <c r="AE717" s="64">
        <v>0</v>
      </c>
      <c r="AF717" s="64"/>
      <c r="AG717" s="64">
        <v>209268.31068528001</v>
      </c>
      <c r="AH717" s="64">
        <v>0</v>
      </c>
      <c r="AI717" s="64">
        <v>2122022.6416493999</v>
      </c>
      <c r="AJ717" s="64">
        <v>0</v>
      </c>
      <c r="AK717" s="64">
        <v>0</v>
      </c>
      <c r="AL717" s="64">
        <v>0</v>
      </c>
      <c r="AM717" s="64">
        <v>1414495.9609999999</v>
      </c>
      <c r="AN717" s="65">
        <v>149747.64259999999</v>
      </c>
      <c r="AO717" s="66">
        <v>286985.14204696001</v>
      </c>
      <c r="AP717" s="128">
        <f>+N717-'Приложение №2'!E726</f>
        <v>0</v>
      </c>
      <c r="AQ717" s="23">
        <v>819412.69</v>
      </c>
      <c r="AR717" s="25">
        <f>+(K717*13.29+L717*22.52)*12*0.85</f>
        <v>255243.51377999995</v>
      </c>
      <c r="AS717" s="25">
        <f>+(K717*13.29+L717*22.52)*12*30</f>
        <v>9008594.6039999984</v>
      </c>
      <c r="AT717" s="127">
        <f>+S717-AS717</f>
        <v>0</v>
      </c>
      <c r="AU717" s="127">
        <f>+P717-'[6]Приложение №1'!$P374</f>
        <v>0</v>
      </c>
      <c r="AV717" s="127">
        <f>+Q717-'[6]Приложение №1'!$Q374</f>
        <v>0</v>
      </c>
      <c r="AW717" s="63">
        <f>SUBTOTAL(9,AX717:BL717)</f>
        <v>14592894.3048</v>
      </c>
      <c r="AX717" s="64">
        <v>4695224.6562059997</v>
      </c>
      <c r="AY717" s="64">
        <v>3264310.7159879999</v>
      </c>
      <c r="AZ717" s="64">
        <v>1988887.4398679999</v>
      </c>
      <c r="BA717" s="64">
        <v>1830087.6300839998</v>
      </c>
      <c r="BB717" s="64">
        <v>0</v>
      </c>
      <c r="BC717" s="64"/>
      <c r="BD717" s="64">
        <v>209268.31068528001</v>
      </c>
      <c r="BE717" s="64">
        <v>0</v>
      </c>
      <c r="BF717" s="64">
        <v>2292827.6138460003</v>
      </c>
      <c r="BG717" s="64">
        <v>0</v>
      </c>
      <c r="BH717" s="64">
        <v>0</v>
      </c>
      <c r="BI717" s="64">
        <v>0</v>
      </c>
      <c r="BJ717" s="64"/>
      <c r="BK717" s="65"/>
      <c r="BL717" s="66">
        <v>312287.93812271999</v>
      </c>
    </row>
    <row r="718" spans="1:65" x14ac:dyDescent="0.25">
      <c r="A718" s="141">
        <f t="shared" si="463"/>
        <v>699</v>
      </c>
      <c r="B718" s="142">
        <f t="shared" si="464"/>
        <v>241</v>
      </c>
      <c r="C718" s="62" t="s">
        <v>46</v>
      </c>
      <c r="D718" s="62" t="s">
        <v>1151</v>
      </c>
      <c r="E718" s="123">
        <v>1974</v>
      </c>
      <c r="F718" s="123">
        <v>2013</v>
      </c>
      <c r="G718" s="123" t="s">
        <v>43</v>
      </c>
      <c r="H718" s="123">
        <v>9</v>
      </c>
      <c r="I718" s="123">
        <v>1</v>
      </c>
      <c r="J718" s="64">
        <v>2145.6</v>
      </c>
      <c r="K718" s="64">
        <v>1951.96</v>
      </c>
      <c r="L718" s="64">
        <v>44</v>
      </c>
      <c r="M718" s="124">
        <v>70</v>
      </c>
      <c r="N718" s="63">
        <f t="shared" si="484"/>
        <v>2305199.3400000003</v>
      </c>
      <c r="O718" s="64"/>
      <c r="P718" s="65"/>
      <c r="Q718" s="65"/>
      <c r="R718" s="65">
        <f t="shared" si="489"/>
        <v>1738667.6184</v>
      </c>
      <c r="S718" s="65">
        <f>+'Приложение №2'!E727-'Приложение №1'!R718</f>
        <v>566531.72160000028</v>
      </c>
      <c r="T718" s="65">
        <v>0</v>
      </c>
      <c r="U718" s="65">
        <f t="shared" si="462"/>
        <v>1180.9664849689543</v>
      </c>
      <c r="V718" s="65">
        <v>1385.2830200640001</v>
      </c>
      <c r="W718" s="126">
        <v>2024</v>
      </c>
      <c r="X718" s="127" t="e">
        <f>+#REF!-'[1]Приложение №1'!$P1582</f>
        <v>#REF!</v>
      </c>
      <c r="Z718" s="63">
        <f t="shared" si="492"/>
        <v>2561332.6</v>
      </c>
      <c r="AA718" s="64">
        <v>0</v>
      </c>
      <c r="AB718" s="64">
        <v>0</v>
      </c>
      <c r="AC718" s="64">
        <v>0</v>
      </c>
      <c r="AD718" s="64">
        <v>0</v>
      </c>
      <c r="AE718" s="64">
        <v>0</v>
      </c>
      <c r="AF718" s="64"/>
      <c r="AG718" s="64">
        <v>0</v>
      </c>
      <c r="AH718" s="64">
        <v>0</v>
      </c>
      <c r="AI718" s="64">
        <v>2255868.0741240005</v>
      </c>
      <c r="AJ718" s="64">
        <v>0</v>
      </c>
      <c r="AK718" s="64">
        <v>0</v>
      </c>
      <c r="AL718" s="64">
        <v>0</v>
      </c>
      <c r="AM718" s="64">
        <v>230519.93400000001</v>
      </c>
      <c r="AN718" s="65">
        <v>25613.326000000001</v>
      </c>
      <c r="AO718" s="66">
        <v>49331.265876000012</v>
      </c>
      <c r="AP718" s="128">
        <f>+N718-'Приложение №2'!E727</f>
        <v>0</v>
      </c>
      <c r="AQ718" s="38">
        <v>1450309.11</v>
      </c>
      <c r="AR718" s="25">
        <f t="shared" si="491"/>
        <v>288358.50839999999</v>
      </c>
      <c r="AS718" s="25">
        <f>+(K718*13.95+L718*23.65)*12*30</f>
        <v>10177359.120000001</v>
      </c>
      <c r="AT718" s="127">
        <f t="shared" si="465"/>
        <v>-9610827.3984000012</v>
      </c>
      <c r="AU718" s="127">
        <f>+P718-'[6]Приложение №1'!$P665</f>
        <v>0</v>
      </c>
      <c r="AV718" s="127">
        <f>+Q718-'[6]Приложение №1'!$Q665</f>
        <v>0</v>
      </c>
      <c r="AW718" s="88">
        <f t="shared" si="481"/>
        <v>2305199.3400000003</v>
      </c>
      <c r="AX718" s="64">
        <v>0</v>
      </c>
      <c r="AY718" s="64">
        <v>0</v>
      </c>
      <c r="AZ718" s="64">
        <v>0</v>
      </c>
      <c r="BA718" s="64">
        <v>0</v>
      </c>
      <c r="BB718" s="64">
        <v>0</v>
      </c>
      <c r="BC718" s="64"/>
      <c r="BD718" s="64"/>
      <c r="BE718" s="64">
        <v>0</v>
      </c>
      <c r="BF718" s="64">
        <v>2255868.0741240005</v>
      </c>
      <c r="BG718" s="64">
        <v>0</v>
      </c>
      <c r="BH718" s="64">
        <v>0</v>
      </c>
      <c r="BI718" s="64">
        <v>0</v>
      </c>
      <c r="BJ718" s="64"/>
      <c r="BK718" s="65"/>
      <c r="BL718" s="66">
        <v>49331.265876000012</v>
      </c>
    </row>
    <row r="719" spans="1:65" x14ac:dyDescent="0.25">
      <c r="A719" s="141">
        <f t="shared" si="463"/>
        <v>700</v>
      </c>
      <c r="B719" s="142">
        <f t="shared" si="464"/>
        <v>242</v>
      </c>
      <c r="C719" s="62" t="s">
        <v>46</v>
      </c>
      <c r="D719" s="62" t="s">
        <v>263</v>
      </c>
      <c r="E719" s="123">
        <v>1973</v>
      </c>
      <c r="F719" s="123">
        <v>2004</v>
      </c>
      <c r="G719" s="123" t="s">
        <v>43</v>
      </c>
      <c r="H719" s="123">
        <v>9</v>
      </c>
      <c r="I719" s="123">
        <v>1</v>
      </c>
      <c r="J719" s="64">
        <v>2255.5</v>
      </c>
      <c r="K719" s="64">
        <v>1988.05</v>
      </c>
      <c r="L719" s="64">
        <v>0</v>
      </c>
      <c r="M719" s="124">
        <v>92</v>
      </c>
      <c r="N719" s="95">
        <f>+P719+Q719+R719+S719+T719</f>
        <v>2471396.1</v>
      </c>
      <c r="O719" s="64"/>
      <c r="P719" s="65"/>
      <c r="Q719" s="65"/>
      <c r="R719" s="65">
        <f>+AQ719+AR719</f>
        <v>1371899.6118999999</v>
      </c>
      <c r="S719" s="65">
        <f>+'Приложение №2'!E728-'Приложение №1'!R719</f>
        <v>1099496.4881000002</v>
      </c>
      <c r="T719" s="65">
        <v>0</v>
      </c>
      <c r="U719" s="64">
        <f>$N719/($K719+$L719)</f>
        <v>1243.1257262141296</v>
      </c>
      <c r="V719" s="64">
        <f>$N719/($K719+$L719)</f>
        <v>1243.1257262141296</v>
      </c>
      <c r="W719" s="126">
        <v>2024</v>
      </c>
      <c r="X719" s="127" t="e">
        <f>+#REF!-'[1]Приложение №1'!$P1583</f>
        <v>#REF!</v>
      </c>
      <c r="Z719" s="63">
        <f>SUM(AA719:AO719)</f>
        <v>2546718.4499999997</v>
      </c>
      <c r="AA719" s="64">
        <v>0</v>
      </c>
      <c r="AB719" s="64">
        <v>0</v>
      </c>
      <c r="AC719" s="64">
        <v>0</v>
      </c>
      <c r="AD719" s="64">
        <v>0</v>
      </c>
      <c r="AE719" s="64">
        <v>0</v>
      </c>
      <c r="AF719" s="64"/>
      <c r="AG719" s="64">
        <v>0</v>
      </c>
      <c r="AH719" s="64">
        <v>0</v>
      </c>
      <c r="AI719" s="64">
        <v>2242996.8076530001</v>
      </c>
      <c r="AJ719" s="64">
        <v>0</v>
      </c>
      <c r="AK719" s="64">
        <v>0</v>
      </c>
      <c r="AL719" s="64">
        <v>0</v>
      </c>
      <c r="AM719" s="64">
        <v>229204.6605</v>
      </c>
      <c r="AN719" s="65">
        <v>25467.184500000003</v>
      </c>
      <c r="AO719" s="66">
        <v>49049.797347</v>
      </c>
      <c r="AP719" s="128">
        <f>+N719-'Приложение №2'!E728</f>
        <v>0</v>
      </c>
      <c r="AQ719" s="23">
        <v>1102403.53</v>
      </c>
      <c r="AR719" s="25">
        <f>+(K719*13.29+L719*22.52)*12*0.85</f>
        <v>269496.08189999999</v>
      </c>
      <c r="AS719" s="25">
        <f>+(K719*13.29+L719*22.52)*12*30</f>
        <v>9511626.4199999999</v>
      </c>
      <c r="AT719" s="127">
        <f>+S719-AS719</f>
        <v>-8412129.9319000002</v>
      </c>
      <c r="AU719" s="127">
        <f>+P719-'[6]Приложение №1'!$P375</f>
        <v>-2175839.7215601779</v>
      </c>
      <c r="AV719" s="127">
        <f>+Q719-'[6]Приложение №1'!$Q375</f>
        <v>0</v>
      </c>
      <c r="AW719" s="63">
        <f>SUBTOTAL(9,AX719:BL719)</f>
        <v>2471396.1</v>
      </c>
      <c r="AX719" s="64">
        <v>0</v>
      </c>
      <c r="AY719" s="64">
        <v>0</v>
      </c>
      <c r="AZ719" s="64">
        <v>0</v>
      </c>
      <c r="BA719" s="64">
        <v>0</v>
      </c>
      <c r="BB719" s="64">
        <v>0</v>
      </c>
      <c r="BC719" s="64"/>
      <c r="BD719" s="64"/>
      <c r="BE719" s="64">
        <v>0</v>
      </c>
      <c r="BF719" s="64">
        <v>2418508.22346</v>
      </c>
      <c r="BG719" s="64">
        <v>0</v>
      </c>
      <c r="BH719" s="64">
        <v>0</v>
      </c>
      <c r="BI719" s="64">
        <v>0</v>
      </c>
      <c r="BJ719" s="64"/>
      <c r="BK719" s="65"/>
      <c r="BL719" s="66">
        <v>52887.876539999997</v>
      </c>
    </row>
    <row r="720" spans="1:65" x14ac:dyDescent="0.25">
      <c r="A720" s="141">
        <f t="shared" si="463"/>
        <v>701</v>
      </c>
      <c r="B720" s="142">
        <f t="shared" si="464"/>
        <v>243</v>
      </c>
      <c r="C720" s="62" t="s">
        <v>46</v>
      </c>
      <c r="D720" s="62" t="s">
        <v>264</v>
      </c>
      <c r="E720" s="123">
        <v>1968</v>
      </c>
      <c r="F720" s="123">
        <v>2015</v>
      </c>
      <c r="G720" s="123" t="s">
        <v>43</v>
      </c>
      <c r="H720" s="123">
        <v>4</v>
      </c>
      <c r="I720" s="123">
        <v>4</v>
      </c>
      <c r="J720" s="64">
        <v>2529.1</v>
      </c>
      <c r="K720" s="64">
        <v>2238.1</v>
      </c>
      <c r="L720" s="64">
        <v>227.2</v>
      </c>
      <c r="M720" s="124">
        <v>104</v>
      </c>
      <c r="N720" s="63">
        <f t="shared" si="484"/>
        <v>24900086.324828003</v>
      </c>
      <c r="O720" s="64"/>
      <c r="P720" s="65">
        <v>3007275.9718176005</v>
      </c>
      <c r="Q720" s="65"/>
      <c r="R720" s="65">
        <f t="shared" si="489"/>
        <v>1742836.93</v>
      </c>
      <c r="S720" s="65">
        <f>+AS720</f>
        <v>10177650</v>
      </c>
      <c r="T720" s="65">
        <f>+'Приложение №2'!E729-'Приложение №1'!P720-'Приложение №1'!R720-'Приложение №1'!S720</f>
        <v>9972323.4230104014</v>
      </c>
      <c r="U720" s="65">
        <f t="shared" si="462"/>
        <v>11125.546814185249</v>
      </c>
      <c r="V720" s="65">
        <v>1386.2830200640001</v>
      </c>
      <c r="W720" s="126">
        <v>2024</v>
      </c>
      <c r="X720" s="127" t="e">
        <f>+#REF!-'[1]Приложение №1'!$P1829</f>
        <v>#REF!</v>
      </c>
      <c r="Z720" s="63">
        <f t="shared" si="492"/>
        <v>29885518.550000001</v>
      </c>
      <c r="AA720" s="64">
        <v>6731956.0892438404</v>
      </c>
      <c r="AB720" s="64">
        <v>2468626.27801314</v>
      </c>
      <c r="AC720" s="64">
        <v>2579135.1598849199</v>
      </c>
      <c r="AD720" s="64">
        <v>1614732.13773312</v>
      </c>
      <c r="AE720" s="64">
        <v>0</v>
      </c>
      <c r="AF720" s="64"/>
      <c r="AG720" s="64">
        <v>222240.79473288002</v>
      </c>
      <c r="AH720" s="64">
        <v>0</v>
      </c>
      <c r="AI720" s="64">
        <v>12664980.5522436</v>
      </c>
      <c r="AJ720" s="64">
        <v>0</v>
      </c>
      <c r="AK720" s="64">
        <v>0</v>
      </c>
      <c r="AL720" s="64">
        <v>0</v>
      </c>
      <c r="AM720" s="64">
        <v>2730265.4369999999</v>
      </c>
      <c r="AN720" s="65">
        <v>298855.18550000008</v>
      </c>
      <c r="AO720" s="66">
        <v>574726.9156485002</v>
      </c>
      <c r="AP720" s="128">
        <f>+N720-'Приложение №2'!E729</f>
        <v>0</v>
      </c>
      <c r="AQ720" s="127">
        <f>1454470.18</f>
        <v>1454470.18</v>
      </c>
      <c r="AR720" s="25">
        <f t="shared" ref="AR720:AR725" si="493">+(K720*10.5+L720*21)*12*0.85</f>
        <v>288366.75</v>
      </c>
      <c r="AS720" s="25">
        <f>+(K720*10.5+L720*21)*12*30</f>
        <v>10177650</v>
      </c>
      <c r="AT720" s="127">
        <f t="shared" si="465"/>
        <v>0</v>
      </c>
      <c r="AU720" s="127">
        <f>+P720-'[6]Приложение №1'!$P666</f>
        <v>0</v>
      </c>
      <c r="AV720" s="127">
        <f>+Q720-'[6]Приложение №1'!$Q666</f>
        <v>0</v>
      </c>
      <c r="AW720" s="88">
        <f t="shared" si="481"/>
        <v>24900086.324828003</v>
      </c>
      <c r="AX720" s="64">
        <v>7338416.0047800001</v>
      </c>
      <c r="AY720" s="64"/>
      <c r="AZ720" s="64">
        <v>2862800.1293219998</v>
      </c>
      <c r="BA720" s="64"/>
      <c r="BB720" s="64">
        <v>0</v>
      </c>
      <c r="BC720" s="64"/>
      <c r="BD720" s="64">
        <v>222240.79473288002</v>
      </c>
      <c r="BE720" s="64">
        <v>0</v>
      </c>
      <c r="BF720" s="64">
        <v>14005782.708666001</v>
      </c>
      <c r="BG720" s="64">
        <v>0</v>
      </c>
      <c r="BH720" s="64">
        <v>0</v>
      </c>
      <c r="BI720" s="64">
        <v>0</v>
      </c>
      <c r="BJ720" s="64"/>
      <c r="BK720" s="65"/>
      <c r="BL720" s="66">
        <v>470846.6873271201</v>
      </c>
    </row>
    <row r="721" spans="1:64" x14ac:dyDescent="0.25">
      <c r="A721" s="141">
        <f t="shared" si="463"/>
        <v>702</v>
      </c>
      <c r="B721" s="142">
        <f t="shared" si="464"/>
        <v>244</v>
      </c>
      <c r="C721" s="62" t="s">
        <v>46</v>
      </c>
      <c r="D721" s="62" t="s">
        <v>1152</v>
      </c>
      <c r="E721" s="123">
        <v>1990</v>
      </c>
      <c r="F721" s="123">
        <v>2015</v>
      </c>
      <c r="G721" s="123" t="s">
        <v>43</v>
      </c>
      <c r="H721" s="123">
        <v>9</v>
      </c>
      <c r="I721" s="123">
        <v>1</v>
      </c>
      <c r="J721" s="64">
        <v>2286.6999999999998</v>
      </c>
      <c r="K721" s="64">
        <v>2021.3</v>
      </c>
      <c r="L721" s="64">
        <v>0</v>
      </c>
      <c r="M721" s="124">
        <v>76</v>
      </c>
      <c r="N721" s="95">
        <f>+P721+Q721+R721+S721+T721</f>
        <v>2330029.3230000003</v>
      </c>
      <c r="O721" s="64"/>
      <c r="P721" s="65"/>
      <c r="Q721" s="65"/>
      <c r="R721" s="65">
        <f>+AQ721+AR721</f>
        <v>1446929.3654</v>
      </c>
      <c r="S721" s="65">
        <f>+'Приложение №2'!E730-'Приложение №1'!R721</f>
        <v>883099.95760000031</v>
      </c>
      <c r="T721" s="65">
        <v>0</v>
      </c>
      <c r="U721" s="64">
        <f>$N721/($K721+$L721)</f>
        <v>1152.7380017810322</v>
      </c>
      <c r="V721" s="64">
        <f>$N721/($K721+$L721)</f>
        <v>1152.7380017810322</v>
      </c>
      <c r="W721" s="126">
        <v>2024</v>
      </c>
      <c r="X721" s="127" t="e">
        <f>+#REF!-'[1]Приложение №1'!$P1588</f>
        <v>#REF!</v>
      </c>
      <c r="Z721" s="63">
        <f>SUM(AA721:AO721)</f>
        <v>2588921.4700000002</v>
      </c>
      <c r="AA721" s="64">
        <v>0</v>
      </c>
      <c r="AB721" s="64">
        <v>0</v>
      </c>
      <c r="AC721" s="64">
        <v>0</v>
      </c>
      <c r="AD721" s="64">
        <v>0</v>
      </c>
      <c r="AE721" s="64">
        <v>0</v>
      </c>
      <c r="AF721" s="64"/>
      <c r="AG721" s="64">
        <v>0</v>
      </c>
      <c r="AH721" s="64">
        <v>0</v>
      </c>
      <c r="AI721" s="64">
        <v>2280166.6954878005</v>
      </c>
      <c r="AJ721" s="64">
        <v>0</v>
      </c>
      <c r="AK721" s="64">
        <v>0</v>
      </c>
      <c r="AL721" s="64">
        <v>0</v>
      </c>
      <c r="AM721" s="64">
        <v>233002.93230000001</v>
      </c>
      <c r="AN721" s="65">
        <v>25889.214700000004</v>
      </c>
      <c r="AO721" s="66">
        <v>49862.627512200008</v>
      </c>
      <c r="AP721" s="128">
        <f>+N721-'Приложение №2'!E730</f>
        <v>0</v>
      </c>
      <c r="AQ721" s="23">
        <v>1172925.98</v>
      </c>
      <c r="AR721" s="25">
        <f>+(K721*13.29+L721*22.52)*12*0.85</f>
        <v>274003.38539999997</v>
      </c>
      <c r="AS721" s="25">
        <f>+(K721*13.29+L721*22.52)*12*30</f>
        <v>9670707.7200000007</v>
      </c>
      <c r="AT721" s="127">
        <f>+S721-AS721</f>
        <v>-8787607.7624000013</v>
      </c>
      <c r="AU721" s="127">
        <f>+P721-'[6]Приложение №1'!$P378</f>
        <v>0</v>
      </c>
      <c r="AV721" s="127">
        <f>+Q721-'[6]Приложение №1'!$Q378</f>
        <v>0</v>
      </c>
      <c r="AW721" s="63">
        <f>SUBTOTAL(9,AX721:BL721)</f>
        <v>2330029.3230000003</v>
      </c>
      <c r="AX721" s="64">
        <v>0</v>
      </c>
      <c r="AY721" s="64">
        <v>0</v>
      </c>
      <c r="AZ721" s="64">
        <v>0</v>
      </c>
      <c r="BA721" s="64">
        <v>0</v>
      </c>
      <c r="BB721" s="64">
        <v>0</v>
      </c>
      <c r="BC721" s="64"/>
      <c r="BD721" s="64"/>
      <c r="BE721" s="64">
        <v>0</v>
      </c>
      <c r="BF721" s="64">
        <v>2280166.6954878005</v>
      </c>
      <c r="BG721" s="64">
        <v>0</v>
      </c>
      <c r="BH721" s="64">
        <v>0</v>
      </c>
      <c r="BI721" s="64">
        <v>0</v>
      </c>
      <c r="BJ721" s="64"/>
      <c r="BK721" s="65"/>
      <c r="BL721" s="66">
        <v>49862.627512200008</v>
      </c>
    </row>
    <row r="722" spans="1:64" x14ac:dyDescent="0.25">
      <c r="A722" s="141">
        <f t="shared" si="463"/>
        <v>703</v>
      </c>
      <c r="B722" s="142">
        <f t="shared" si="464"/>
        <v>245</v>
      </c>
      <c r="C722" s="62" t="s">
        <v>46</v>
      </c>
      <c r="D722" s="62" t="s">
        <v>265</v>
      </c>
      <c r="E722" s="123">
        <v>1967</v>
      </c>
      <c r="F722" s="123">
        <v>2015</v>
      </c>
      <c r="G722" s="123" t="s">
        <v>43</v>
      </c>
      <c r="H722" s="123">
        <v>3</v>
      </c>
      <c r="I722" s="123">
        <v>3</v>
      </c>
      <c r="J722" s="64">
        <v>1753.5</v>
      </c>
      <c r="K722" s="64">
        <v>1262.7</v>
      </c>
      <c r="L722" s="64">
        <v>455.8</v>
      </c>
      <c r="M722" s="124">
        <v>37</v>
      </c>
      <c r="N722" s="63">
        <f t="shared" si="484"/>
        <v>32842824.751731999</v>
      </c>
      <c r="O722" s="64"/>
      <c r="P722" s="65">
        <v>5009763.3724291995</v>
      </c>
      <c r="Q722" s="65"/>
      <c r="R722" s="65">
        <f t="shared" si="489"/>
        <v>1464258.99</v>
      </c>
      <c r="S722" s="65">
        <f>+AS722</f>
        <v>8218854.0000000019</v>
      </c>
      <c r="T722" s="65">
        <f>+'Приложение №2'!E731-'Приложение №1'!P722-'Приложение №1'!R722-'Приложение №1'!S722</f>
        <v>18149948.389302798</v>
      </c>
      <c r="U722" s="65">
        <f t="shared" si="462"/>
        <v>26009.998219475725</v>
      </c>
      <c r="V722" s="65">
        <v>1387.2830200640001</v>
      </c>
      <c r="W722" s="126">
        <v>2024</v>
      </c>
      <c r="X722" s="127" t="e">
        <f>+#REF!-'[1]Приложение №1'!$P1831</f>
        <v>#REF!</v>
      </c>
      <c r="Z722" s="63">
        <f t="shared" si="492"/>
        <v>34868708.160000004</v>
      </c>
      <c r="AA722" s="64">
        <v>5996729.9781097798</v>
      </c>
      <c r="AB722" s="64">
        <v>3648890.3764198199</v>
      </c>
      <c r="AC722" s="64">
        <v>1719410.9272174803</v>
      </c>
      <c r="AD722" s="64">
        <v>1465289.8013577599</v>
      </c>
      <c r="AE722" s="64">
        <v>0</v>
      </c>
      <c r="AF722" s="64"/>
      <c r="AG722" s="64">
        <v>511593.88939176005</v>
      </c>
      <c r="AH722" s="64">
        <v>0</v>
      </c>
      <c r="AI722" s="64">
        <v>17347540.944257997</v>
      </c>
      <c r="AJ722" s="64">
        <v>0</v>
      </c>
      <c r="AK722" s="64">
        <v>0</v>
      </c>
      <c r="AL722" s="64">
        <v>0</v>
      </c>
      <c r="AM722" s="64">
        <v>3159448.9173999997</v>
      </c>
      <c r="AN722" s="65">
        <v>348687.08159999998</v>
      </c>
      <c r="AO722" s="66">
        <v>671116.24424539995</v>
      </c>
      <c r="AP722" s="128">
        <f>+N722-'Приложение №2'!E731</f>
        <v>0</v>
      </c>
      <c r="AQ722" s="127">
        <f>1231391.46</f>
        <v>1231391.46</v>
      </c>
      <c r="AR722" s="25">
        <f t="shared" si="493"/>
        <v>232867.53000000003</v>
      </c>
      <c r="AS722" s="25">
        <f>+(K722*10.5+L722*21)*12*30</f>
        <v>8218854.0000000019</v>
      </c>
      <c r="AT722" s="127">
        <f t="shared" si="465"/>
        <v>0</v>
      </c>
      <c r="AU722" s="127">
        <f>+P722-'[6]Приложение №1'!$P667</f>
        <v>0</v>
      </c>
      <c r="AV722" s="127">
        <f>+Q722-'[6]Приложение №1'!$Q667</f>
        <v>0</v>
      </c>
      <c r="AW722" s="88">
        <f t="shared" si="481"/>
        <v>32842824.751731999</v>
      </c>
      <c r="AX722" s="64">
        <v>6541685.2820339995</v>
      </c>
      <c r="AY722" s="64">
        <v>4051261.6039140001</v>
      </c>
      <c r="AZ722" s="64">
        <v>1904080.8091200001</v>
      </c>
      <c r="BA722" s="64"/>
      <c r="BB722" s="64">
        <v>0</v>
      </c>
      <c r="BC722" s="64"/>
      <c r="BD722" s="64">
        <v>511593.88939176005</v>
      </c>
      <c r="BE722" s="64">
        <v>0</v>
      </c>
      <c r="BF722" s="64">
        <v>19172709.856734</v>
      </c>
      <c r="BG722" s="64">
        <v>0</v>
      </c>
      <c r="BH722" s="64">
        <v>0</v>
      </c>
      <c r="BI722" s="64">
        <v>0</v>
      </c>
      <c r="BJ722" s="64"/>
      <c r="BK722" s="65"/>
      <c r="BL722" s="66">
        <v>661493.31053824001</v>
      </c>
    </row>
    <row r="723" spans="1:64" x14ac:dyDescent="0.25">
      <c r="A723" s="141">
        <f t="shared" si="463"/>
        <v>704</v>
      </c>
      <c r="B723" s="142">
        <f t="shared" si="464"/>
        <v>246</v>
      </c>
      <c r="C723" s="62" t="s">
        <v>46</v>
      </c>
      <c r="D723" s="62" t="s">
        <v>266</v>
      </c>
      <c r="E723" s="123">
        <v>1968</v>
      </c>
      <c r="F723" s="123">
        <v>2015</v>
      </c>
      <c r="G723" s="123" t="s">
        <v>43</v>
      </c>
      <c r="H723" s="123">
        <v>4</v>
      </c>
      <c r="I723" s="123">
        <v>2</v>
      </c>
      <c r="J723" s="64">
        <v>1345.8</v>
      </c>
      <c r="K723" s="64">
        <v>1132</v>
      </c>
      <c r="L723" s="64">
        <v>118.5</v>
      </c>
      <c r="M723" s="124">
        <v>46</v>
      </c>
      <c r="N723" s="63">
        <f t="shared" si="484"/>
        <v>12599233.890348</v>
      </c>
      <c r="O723" s="64"/>
      <c r="P723" s="65">
        <v>1919629.1910700002</v>
      </c>
      <c r="Q723" s="65"/>
      <c r="R723" s="65">
        <f t="shared" si="489"/>
        <v>682592.66</v>
      </c>
      <c r="S723" s="65">
        <f>+AS723</f>
        <v>5174820</v>
      </c>
      <c r="T723" s="65">
        <f>+'Приложение №2'!E732-'Приложение №1'!P723-'Приложение №1'!R723-'Приложение №1'!S723</f>
        <v>4822192.0392780006</v>
      </c>
      <c r="U723" s="65">
        <f t="shared" si="462"/>
        <v>11130.065274159011</v>
      </c>
      <c r="V723" s="65">
        <v>1388.2830200640001</v>
      </c>
      <c r="W723" s="126">
        <v>2024</v>
      </c>
      <c r="X723" s="127" t="e">
        <f>+#REF!-'[1]Приложение №1'!$P1832</f>
        <v>#REF!</v>
      </c>
      <c r="Z723" s="63">
        <f t="shared" si="492"/>
        <v>15236078.209999999</v>
      </c>
      <c r="AA723" s="64">
        <v>3432050.5232340605</v>
      </c>
      <c r="AB723" s="64">
        <v>1258542.09075378</v>
      </c>
      <c r="AC723" s="64">
        <v>1314881.1524797198</v>
      </c>
      <c r="AD723" s="64">
        <v>823214.26413408003</v>
      </c>
      <c r="AE723" s="64">
        <v>0</v>
      </c>
      <c r="AF723" s="64"/>
      <c r="AG723" s="64">
        <v>113301.62983020001</v>
      </c>
      <c r="AH723" s="64">
        <v>0</v>
      </c>
      <c r="AI723" s="64">
        <v>6456793.9123547999</v>
      </c>
      <c r="AJ723" s="64">
        <v>0</v>
      </c>
      <c r="AK723" s="64">
        <v>0</v>
      </c>
      <c r="AL723" s="64">
        <v>0</v>
      </c>
      <c r="AM723" s="64">
        <v>1391929.5954999998</v>
      </c>
      <c r="AN723" s="65">
        <v>152360.78209999998</v>
      </c>
      <c r="AO723" s="66">
        <v>293004.25961336005</v>
      </c>
      <c r="AP723" s="128">
        <f>+N723-'Приложение №2'!E732</f>
        <v>0</v>
      </c>
      <c r="AQ723" s="127">
        <f>535972.76</f>
        <v>535972.76</v>
      </c>
      <c r="AR723" s="25">
        <f t="shared" si="493"/>
        <v>146619.9</v>
      </c>
      <c r="AS723" s="25">
        <f>+(K723*10.5+L723*21)*12*30</f>
        <v>5174820</v>
      </c>
      <c r="AT723" s="127">
        <f t="shared" si="465"/>
        <v>0</v>
      </c>
      <c r="AU723" s="127">
        <f>+P723-'[6]Приложение №1'!$P668</f>
        <v>0</v>
      </c>
      <c r="AV723" s="127">
        <f>+Q723-'[6]Приложение №1'!$Q668</f>
        <v>0</v>
      </c>
      <c r="AW723" s="88">
        <f t="shared" si="481"/>
        <v>12599233.890348</v>
      </c>
      <c r="AX723" s="64">
        <v>3724324.4375819997</v>
      </c>
      <c r="AY723" s="64"/>
      <c r="AZ723" s="64">
        <v>1448805.3415079999</v>
      </c>
      <c r="BA723" s="64"/>
      <c r="BB723" s="64">
        <v>0</v>
      </c>
      <c r="BC723" s="64"/>
      <c r="BD723" s="64">
        <v>113301.62983020001</v>
      </c>
      <c r="BE723" s="64">
        <v>0</v>
      </c>
      <c r="BF723" s="64">
        <v>7074795.119616</v>
      </c>
      <c r="BG723" s="64">
        <v>0</v>
      </c>
      <c r="BH723" s="64">
        <v>0</v>
      </c>
      <c r="BI723" s="64">
        <v>0</v>
      </c>
      <c r="BJ723" s="64"/>
      <c r="BK723" s="65"/>
      <c r="BL723" s="66">
        <v>238007.36181180002</v>
      </c>
    </row>
    <row r="724" spans="1:64" x14ac:dyDescent="0.25">
      <c r="A724" s="141">
        <f t="shared" si="463"/>
        <v>705</v>
      </c>
      <c r="B724" s="142">
        <f t="shared" si="464"/>
        <v>247</v>
      </c>
      <c r="C724" s="62" t="s">
        <v>46</v>
      </c>
      <c r="D724" s="62" t="s">
        <v>269</v>
      </c>
      <c r="E724" s="123">
        <v>1972</v>
      </c>
      <c r="F724" s="123">
        <v>1972</v>
      </c>
      <c r="G724" s="123" t="s">
        <v>43</v>
      </c>
      <c r="H724" s="123">
        <v>4</v>
      </c>
      <c r="I724" s="123">
        <v>2</v>
      </c>
      <c r="J724" s="64">
        <v>1419.91</v>
      </c>
      <c r="K724" s="64">
        <v>1089.9100000000001</v>
      </c>
      <c r="L724" s="64">
        <v>330</v>
      </c>
      <c r="M724" s="124">
        <v>53</v>
      </c>
      <c r="N724" s="95">
        <f t="shared" ref="N724" si="494">+P724+Q724+R724+S724+T724</f>
        <v>1344004.72</v>
      </c>
      <c r="O724" s="64"/>
      <c r="P724" s="65"/>
      <c r="Q724" s="65"/>
      <c r="R724" s="65">
        <f t="shared" si="489"/>
        <v>992178.5199999999</v>
      </c>
      <c r="S724" s="65">
        <f>+'Приложение №2'!E733-'Приложение №1'!R724</f>
        <v>351826.20000000007</v>
      </c>
      <c r="T724" s="65">
        <v>0</v>
      </c>
      <c r="U724" s="64">
        <f t="shared" ref="U724:V724" si="495">$N724/($K724+$L724)</f>
        <v>946.54218929368756</v>
      </c>
      <c r="V724" s="64">
        <f t="shared" si="495"/>
        <v>946.54218929368756</v>
      </c>
      <c r="W724" s="126">
        <v>2024</v>
      </c>
      <c r="X724" s="127" t="e">
        <f>+#REF!-'[1]Приложение №1'!$P1932</f>
        <v>#REF!</v>
      </c>
      <c r="Z724" s="63">
        <f t="shared" si="492"/>
        <v>7184246.7200000016</v>
      </c>
      <c r="AA724" s="64">
        <v>3119135.8409757004</v>
      </c>
      <c r="AB724" s="64">
        <v>1143795.4428423601</v>
      </c>
      <c r="AC724" s="64">
        <v>1194997.8356148002</v>
      </c>
      <c r="AD724" s="64">
        <v>748158.30905759998</v>
      </c>
      <c r="AE724" s="64">
        <v>0</v>
      </c>
      <c r="AF724" s="64"/>
      <c r="AG724" s="64">
        <v>102971.44054764</v>
      </c>
      <c r="AH724" s="64">
        <v>0</v>
      </c>
      <c r="AI724" s="64">
        <v>0</v>
      </c>
      <c r="AJ724" s="64">
        <v>0</v>
      </c>
      <c r="AK724" s="64">
        <v>0</v>
      </c>
      <c r="AL724" s="64">
        <v>0</v>
      </c>
      <c r="AM724" s="64">
        <v>665379.04429999995</v>
      </c>
      <c r="AN724" s="65">
        <v>71842.467199999999</v>
      </c>
      <c r="AO724" s="66">
        <v>137966.3394619</v>
      </c>
      <c r="AP724" s="128">
        <f>+N724-'Приложение №2'!E733</f>
        <v>0</v>
      </c>
      <c r="AQ724" s="23">
        <v>813687.7</v>
      </c>
      <c r="AR724" s="25">
        <f t="shared" ref="AR724" si="496">+(K724*10+L724*20)*12*0.85</f>
        <v>178490.81999999998</v>
      </c>
      <c r="AS724" s="25">
        <f t="shared" ref="AS724" si="497">+(K724*10+L724*20)*12*30</f>
        <v>6299675.9999999991</v>
      </c>
      <c r="AT724" s="127">
        <f t="shared" si="465"/>
        <v>-5947849.7999999989</v>
      </c>
      <c r="AU724" s="127">
        <f>+P724-'[6]Приложение №1'!$P716</f>
        <v>-1760352.89</v>
      </c>
      <c r="AV724" s="127">
        <f>+Q724-'[6]Приложение №1'!$Q716</f>
        <v>0</v>
      </c>
      <c r="AW724" s="63">
        <f>SUBTOTAL(9,AX724:BL724)</f>
        <v>1344004.72</v>
      </c>
      <c r="AX724" s="64"/>
      <c r="AY724" s="64"/>
      <c r="AZ724" s="64">
        <v>1315243.018992</v>
      </c>
      <c r="BA724" s="64"/>
      <c r="BB724" s="64">
        <v>0</v>
      </c>
      <c r="BC724" s="64"/>
      <c r="BD724" s="64"/>
      <c r="BE724" s="64"/>
      <c r="BF724" s="64"/>
      <c r="BG724" s="64">
        <v>0</v>
      </c>
      <c r="BH724" s="64">
        <v>0</v>
      </c>
      <c r="BI724" s="64">
        <v>0</v>
      </c>
      <c r="BJ724" s="64"/>
      <c r="BK724" s="65"/>
      <c r="BL724" s="66">
        <v>28761.701008</v>
      </c>
    </row>
    <row r="725" spans="1:64" x14ac:dyDescent="0.25">
      <c r="A725" s="141">
        <f t="shared" si="463"/>
        <v>706</v>
      </c>
      <c r="B725" s="142">
        <f t="shared" si="464"/>
        <v>248</v>
      </c>
      <c r="C725" s="62" t="s">
        <v>46</v>
      </c>
      <c r="D725" s="62" t="s">
        <v>268</v>
      </c>
      <c r="E725" s="123">
        <v>1967</v>
      </c>
      <c r="F725" s="123">
        <v>2013</v>
      </c>
      <c r="G725" s="123" t="s">
        <v>43</v>
      </c>
      <c r="H725" s="123">
        <v>3</v>
      </c>
      <c r="I725" s="123">
        <v>3</v>
      </c>
      <c r="J725" s="64">
        <v>1661.3</v>
      </c>
      <c r="K725" s="64">
        <v>1287.5999999999999</v>
      </c>
      <c r="L725" s="64">
        <v>250.7</v>
      </c>
      <c r="M725" s="124">
        <v>74</v>
      </c>
      <c r="N725" s="63">
        <f t="shared" si="484"/>
        <v>12877508.090127997</v>
      </c>
      <c r="O725" s="64"/>
      <c r="P725" s="65">
        <v>1452195.0248139997</v>
      </c>
      <c r="Q725" s="65"/>
      <c r="R725" s="65">
        <f t="shared" si="489"/>
        <v>1118304.1599999999</v>
      </c>
      <c r="S725" s="65">
        <f>+AS725</f>
        <v>6762420</v>
      </c>
      <c r="T725" s="65">
        <f>+'Приложение №2'!E734-'Приложение №1'!P725-'Приложение №1'!R725-'Приложение №1'!S725</f>
        <v>3544588.9053139985</v>
      </c>
      <c r="U725" s="65">
        <f t="shared" si="462"/>
        <v>10001.171241168064</v>
      </c>
      <c r="V725" s="65">
        <v>1389.2830200640001</v>
      </c>
      <c r="W725" s="126">
        <v>2024</v>
      </c>
      <c r="X725" s="127" t="e">
        <f>+#REF!-'[1]Приложение №1'!$P1835</f>
        <v>#REF!</v>
      </c>
      <c r="Z725" s="63">
        <f t="shared" si="492"/>
        <v>14747148.670000002</v>
      </c>
      <c r="AA725" s="64">
        <v>5828747.4672991196</v>
      </c>
      <c r="AB725" s="64">
        <v>3546676.3733486403</v>
      </c>
      <c r="AC725" s="64">
        <v>1671246.17812992</v>
      </c>
      <c r="AD725" s="64">
        <v>1424243.59065324</v>
      </c>
      <c r="AE725" s="64">
        <v>0</v>
      </c>
      <c r="AF725" s="64"/>
      <c r="AG725" s="64">
        <v>497262.94218215998</v>
      </c>
      <c r="AH725" s="64">
        <v>0</v>
      </c>
      <c r="AI725" s="64">
        <v>0</v>
      </c>
      <c r="AJ725" s="64">
        <v>0</v>
      </c>
      <c r="AK725" s="64">
        <v>0</v>
      </c>
      <c r="AL725" s="64">
        <v>0</v>
      </c>
      <c r="AM725" s="64">
        <v>1347912.8755000001</v>
      </c>
      <c r="AN725" s="65">
        <v>147471.48670000001</v>
      </c>
      <c r="AO725" s="66">
        <v>283587.75618692004</v>
      </c>
      <c r="AP725" s="128">
        <f>+N725-'Приложение №2'!E734</f>
        <v>0</v>
      </c>
      <c r="AQ725" s="127">
        <f>926702.26</f>
        <v>926702.26</v>
      </c>
      <c r="AR725" s="25">
        <f t="shared" si="493"/>
        <v>191601.9</v>
      </c>
      <c r="AS725" s="25">
        <f>+(K725*10.5+L725*21)*12*30</f>
        <v>6762420</v>
      </c>
      <c r="AT725" s="127">
        <f t="shared" si="465"/>
        <v>0</v>
      </c>
      <c r="AU725" s="127">
        <f>+P725-'[6]Приложение №1'!$P669</f>
        <v>0</v>
      </c>
      <c r="AV725" s="127">
        <f>+Q725-'[6]Приложение №1'!$Q669</f>
        <v>0</v>
      </c>
      <c r="AW725" s="88">
        <f t="shared" si="481"/>
        <v>12877508.090127999</v>
      </c>
      <c r="AX725" s="64">
        <v>6357413.6689979993</v>
      </c>
      <c r="AY725" s="64">
        <v>3936738.962142</v>
      </c>
      <c r="AZ725" s="64">
        <v>1850698.86414</v>
      </c>
      <c r="BA725" s="64"/>
      <c r="BB725" s="64">
        <v>0</v>
      </c>
      <c r="BC725" s="64"/>
      <c r="BD725" s="64">
        <v>497262.94218215998</v>
      </c>
      <c r="BE725" s="64">
        <v>0</v>
      </c>
      <c r="BF725" s="64">
        <v>0</v>
      </c>
      <c r="BG725" s="64">
        <v>0</v>
      </c>
      <c r="BH725" s="64">
        <v>0</v>
      </c>
      <c r="BI725" s="64">
        <v>0</v>
      </c>
      <c r="BJ725" s="64"/>
      <c r="BK725" s="65"/>
      <c r="BL725" s="66">
        <v>235393.65266584005</v>
      </c>
    </row>
    <row r="726" spans="1:64" x14ac:dyDescent="0.25">
      <c r="A726" s="141">
        <f t="shared" si="463"/>
        <v>707</v>
      </c>
      <c r="B726" s="142">
        <f t="shared" si="464"/>
        <v>249</v>
      </c>
      <c r="C726" s="62" t="s">
        <v>46</v>
      </c>
      <c r="D726" s="62" t="s">
        <v>854</v>
      </c>
      <c r="E726" s="123">
        <v>2000</v>
      </c>
      <c r="F726" s="123">
        <v>2013</v>
      </c>
      <c r="G726" s="123" t="s">
        <v>43</v>
      </c>
      <c r="H726" s="123">
        <v>9</v>
      </c>
      <c r="I726" s="123">
        <v>6</v>
      </c>
      <c r="J726" s="64">
        <v>12225.7</v>
      </c>
      <c r="K726" s="64">
        <v>12225.7</v>
      </c>
      <c r="L726" s="64">
        <v>0</v>
      </c>
      <c r="M726" s="124">
        <v>575</v>
      </c>
      <c r="N726" s="63">
        <f t="shared" si="484"/>
        <v>25626300</v>
      </c>
      <c r="O726" s="64"/>
      <c r="P726" s="65"/>
      <c r="Q726" s="65"/>
      <c r="R726" s="65">
        <f t="shared" si="489"/>
        <v>10608888.593</v>
      </c>
      <c r="S726" s="65">
        <f>+'Приложение №2'!E735-'Приложение №1'!R726</f>
        <v>15017411.407</v>
      </c>
      <c r="T726" s="65">
        <v>0</v>
      </c>
      <c r="U726" s="65">
        <f t="shared" si="462"/>
        <v>2096.1008367619029</v>
      </c>
      <c r="V726" s="65">
        <v>1390.2830200640001</v>
      </c>
      <c r="W726" s="126">
        <v>2024</v>
      </c>
      <c r="X726" s="127"/>
      <c r="Z726" s="63"/>
      <c r="AA726" s="64"/>
      <c r="AB726" s="64"/>
      <c r="AC726" s="64"/>
      <c r="AD726" s="64"/>
      <c r="AE726" s="64"/>
      <c r="AF726" s="64"/>
      <c r="AG726" s="64"/>
      <c r="AH726" s="64"/>
      <c r="AI726" s="64"/>
      <c r="AJ726" s="64"/>
      <c r="AK726" s="64"/>
      <c r="AL726" s="64"/>
      <c r="AM726" s="64"/>
      <c r="AN726" s="65"/>
      <c r="AO726" s="66"/>
      <c r="AP726" s="128">
        <f>+N726-'Приложение №2'!E735</f>
        <v>0</v>
      </c>
      <c r="AQ726" s="38">
        <v>8869293.7400000002</v>
      </c>
      <c r="AR726" s="25">
        <f>+(K726*13.95+L726*23.65)*12*0.85</f>
        <v>1739594.8530000001</v>
      </c>
      <c r="AS726" s="25">
        <f>+(K726*13.95+L726*23.65)*12*30</f>
        <v>61397465.400000006</v>
      </c>
      <c r="AT726" s="127">
        <f t="shared" si="465"/>
        <v>-46380053.993000008</v>
      </c>
      <c r="AU726" s="127">
        <f>+P726-'[6]Приложение №1'!$P670</f>
        <v>0</v>
      </c>
      <c r="AV726" s="127">
        <f>+Q726-'[6]Приложение №1'!$Q670</f>
        <v>0</v>
      </c>
      <c r="AW726" s="88">
        <f t="shared" si="481"/>
        <v>25626300</v>
      </c>
      <c r="AX726" s="64"/>
      <c r="AY726" s="64"/>
      <c r="AZ726" s="64"/>
      <c r="BA726" s="64"/>
      <c r="BB726" s="64"/>
      <c r="BC726" s="64"/>
      <c r="BD726" s="64"/>
      <c r="BE726" s="64">
        <v>24074781.292800002</v>
      </c>
      <c r="BF726" s="64"/>
      <c r="BG726" s="64"/>
      <c r="BH726" s="64"/>
      <c r="BI726" s="64"/>
      <c r="BJ726" s="64">
        <v>768789</v>
      </c>
      <c r="BK726" s="65">
        <v>256263</v>
      </c>
      <c r="BL726" s="66">
        <v>526466.70720000006</v>
      </c>
    </row>
    <row r="727" spans="1:64" x14ac:dyDescent="0.25">
      <c r="A727" s="141">
        <f t="shared" si="463"/>
        <v>708</v>
      </c>
      <c r="B727" s="142">
        <f t="shared" si="464"/>
        <v>250</v>
      </c>
      <c r="C727" s="62" t="s">
        <v>46</v>
      </c>
      <c r="D727" s="62" t="s">
        <v>528</v>
      </c>
      <c r="E727" s="123">
        <v>1969</v>
      </c>
      <c r="F727" s="123">
        <v>1969</v>
      </c>
      <c r="G727" s="123" t="s">
        <v>43</v>
      </c>
      <c r="H727" s="123">
        <v>4</v>
      </c>
      <c r="I727" s="123">
        <v>2</v>
      </c>
      <c r="J727" s="64">
        <v>1357.7</v>
      </c>
      <c r="K727" s="64">
        <v>1089.9000000000001</v>
      </c>
      <c r="L727" s="64">
        <v>150.80000000000001</v>
      </c>
      <c r="M727" s="124">
        <v>48</v>
      </c>
      <c r="N727" s="63">
        <f t="shared" si="484"/>
        <v>5569053.0165039999</v>
      </c>
      <c r="O727" s="64"/>
      <c r="P727" s="65"/>
      <c r="Q727" s="65"/>
      <c r="R727" s="65">
        <f t="shared" si="489"/>
        <v>754708.3</v>
      </c>
      <c r="S727" s="65">
        <f>+'Приложение №2'!E736-'Приложение №1'!R727</f>
        <v>4814344.7165040001</v>
      </c>
      <c r="T727" s="65">
        <v>0</v>
      </c>
      <c r="U727" s="65">
        <f t="shared" si="462"/>
        <v>5109.6917299788965</v>
      </c>
      <c r="V727" s="65">
        <v>1391.2830200640001</v>
      </c>
      <c r="W727" s="126">
        <v>2024</v>
      </c>
      <c r="X727" s="127" t="e">
        <f>+#REF!-'[1]Приложение №1'!$P1837</f>
        <v>#REF!</v>
      </c>
      <c r="Z727" s="63">
        <f t="shared" ref="Z727:Z752" si="498">SUM(AA727:AO727)</f>
        <v>8198144.5299999993</v>
      </c>
      <c r="AA727" s="64">
        <v>3559333.0036773602</v>
      </c>
      <c r="AB727" s="64">
        <v>1305216.9162526201</v>
      </c>
      <c r="AC727" s="64">
        <v>1363645.3966245598</v>
      </c>
      <c r="AD727" s="64">
        <v>853744.33726847998</v>
      </c>
      <c r="AE727" s="64">
        <v>0</v>
      </c>
      <c r="AF727" s="64"/>
      <c r="AG727" s="64">
        <v>117503.58224136</v>
      </c>
      <c r="AH727" s="64">
        <v>0</v>
      </c>
      <c r="AI727" s="64">
        <v>0</v>
      </c>
      <c r="AJ727" s="64">
        <v>0</v>
      </c>
      <c r="AK727" s="64">
        <v>0</v>
      </c>
      <c r="AL727" s="64">
        <v>0</v>
      </c>
      <c r="AM727" s="64">
        <v>759282.60640000005</v>
      </c>
      <c r="AN727" s="65">
        <v>81981.445299999992</v>
      </c>
      <c r="AO727" s="66">
        <v>157437.24223562001</v>
      </c>
      <c r="AP727" s="128">
        <f>+N727-'Приложение №2'!E736</f>
        <v>0</v>
      </c>
      <c r="AQ727" s="127">
        <f>605678.65</f>
        <v>605678.65</v>
      </c>
      <c r="AR727" s="25">
        <f t="shared" ref="AR727:AR729" si="499">+(K727*10.5+L727*21)*12*0.85</f>
        <v>149029.65</v>
      </c>
      <c r="AS727" s="25">
        <f>+(K727*10.5+L727*21)*12*30</f>
        <v>5259870</v>
      </c>
      <c r="AT727" s="127">
        <f t="shared" si="465"/>
        <v>-445525.28349599987</v>
      </c>
      <c r="AU727" s="127">
        <f>+P727-'[6]Приложение №1'!$P671</f>
        <v>0</v>
      </c>
      <c r="AV727" s="127">
        <f>+Q727-'[6]Приложение №1'!$Q671</f>
        <v>0</v>
      </c>
      <c r="AW727" s="88">
        <f t="shared" si="481"/>
        <v>5569053.0165039999</v>
      </c>
      <c r="AX727" s="64">
        <v>3860931.116196</v>
      </c>
      <c r="AY727" s="64"/>
      <c r="AZ727" s="64">
        <v>1504229.3604659999</v>
      </c>
      <c r="BA727" s="64"/>
      <c r="BB727" s="64">
        <v>0</v>
      </c>
      <c r="BC727" s="64"/>
      <c r="BD727" s="64">
        <v>117503.58224136</v>
      </c>
      <c r="BE727" s="64">
        <v>0</v>
      </c>
      <c r="BF727" s="64">
        <v>0</v>
      </c>
      <c r="BG727" s="64">
        <v>0</v>
      </c>
      <c r="BH727" s="64">
        <v>0</v>
      </c>
      <c r="BI727" s="64">
        <v>0</v>
      </c>
      <c r="BJ727" s="64"/>
      <c r="BK727" s="65"/>
      <c r="BL727" s="66">
        <v>86388.957600640002</v>
      </c>
    </row>
    <row r="728" spans="1:64" x14ac:dyDescent="0.25">
      <c r="A728" s="141">
        <f t="shared" si="463"/>
        <v>709</v>
      </c>
      <c r="B728" s="142">
        <f t="shared" si="464"/>
        <v>251</v>
      </c>
      <c r="C728" s="62" t="s">
        <v>46</v>
      </c>
      <c r="D728" s="62" t="s">
        <v>270</v>
      </c>
      <c r="E728" s="123">
        <v>1969</v>
      </c>
      <c r="F728" s="123">
        <v>1969</v>
      </c>
      <c r="G728" s="123" t="s">
        <v>43</v>
      </c>
      <c r="H728" s="123">
        <v>4</v>
      </c>
      <c r="I728" s="123">
        <v>2</v>
      </c>
      <c r="J728" s="64">
        <v>1375</v>
      </c>
      <c r="K728" s="64">
        <v>1257.0999999999999</v>
      </c>
      <c r="L728" s="64">
        <v>0</v>
      </c>
      <c r="M728" s="124">
        <v>53</v>
      </c>
      <c r="N728" s="63">
        <f t="shared" si="484"/>
        <v>13285630.919514</v>
      </c>
      <c r="O728" s="64"/>
      <c r="P728" s="65">
        <v>2077460.7349500002</v>
      </c>
      <c r="Q728" s="65"/>
      <c r="R728" s="65">
        <f t="shared" si="489"/>
        <v>861893.07000000007</v>
      </c>
      <c r="S728" s="65">
        <f t="shared" ref="S728:S734" si="500">+AS728</f>
        <v>4751837.9999999991</v>
      </c>
      <c r="T728" s="65">
        <f>+'Приложение №2'!E737-'Приложение №1'!P728-'Приложение №1'!R728-'Приложение №1'!S728</f>
        <v>5594439.1145640006</v>
      </c>
      <c r="U728" s="65">
        <f t="shared" si="462"/>
        <v>10568.475793106358</v>
      </c>
      <c r="V728" s="65">
        <v>1392.2830200640001</v>
      </c>
      <c r="W728" s="126">
        <v>2024</v>
      </c>
      <c r="X728" s="127" t="e">
        <f>+#REF!-'[1]Приложение №1'!$P1843</f>
        <v>#REF!</v>
      </c>
      <c r="Z728" s="63">
        <f t="shared" si="498"/>
        <v>15991596.719999999</v>
      </c>
      <c r="AA728" s="64">
        <v>3602237.2105683601</v>
      </c>
      <c r="AB728" s="64">
        <v>1320950.0034994199</v>
      </c>
      <c r="AC728" s="64">
        <v>1380082.7808234601</v>
      </c>
      <c r="AD728" s="64">
        <v>864035.37315648003</v>
      </c>
      <c r="AE728" s="64">
        <v>0</v>
      </c>
      <c r="AF728" s="64"/>
      <c r="AG728" s="64">
        <v>118919.97069456</v>
      </c>
      <c r="AH728" s="64">
        <v>0</v>
      </c>
      <c r="AI728" s="64">
        <v>6776969.9586876007</v>
      </c>
      <c r="AJ728" s="64">
        <v>0</v>
      </c>
      <c r="AK728" s="64">
        <v>0</v>
      </c>
      <c r="AL728" s="64">
        <v>0</v>
      </c>
      <c r="AM728" s="64">
        <v>1460951.8569999998</v>
      </c>
      <c r="AN728" s="65">
        <v>159915.96719999998</v>
      </c>
      <c r="AO728" s="66">
        <v>307533.59837011999</v>
      </c>
      <c r="AP728" s="128">
        <f>+N728-'Приложение №2'!E737</f>
        <v>0</v>
      </c>
      <c r="AQ728" s="127">
        <f>727257.66</f>
        <v>727257.66</v>
      </c>
      <c r="AR728" s="25">
        <f t="shared" si="499"/>
        <v>134635.40999999997</v>
      </c>
      <c r="AS728" s="25">
        <f>+(K728*10.5+L728*21)*12*30</f>
        <v>4751837.9999999991</v>
      </c>
      <c r="AT728" s="127">
        <f t="shared" si="465"/>
        <v>0</v>
      </c>
      <c r="AU728" s="127">
        <f>+P728-'[6]Приложение №1'!$P672</f>
        <v>0</v>
      </c>
      <c r="AV728" s="127">
        <f>+Q728-'[6]Приложение №1'!$Q672</f>
        <v>0</v>
      </c>
      <c r="AW728" s="88">
        <f t="shared" si="481"/>
        <v>13285630.919514</v>
      </c>
      <c r="AX728" s="64">
        <v>3907411.9739759997</v>
      </c>
      <c r="AY728" s="64"/>
      <c r="AZ728" s="64">
        <v>1521963.5496660001</v>
      </c>
      <c r="BA728" s="64"/>
      <c r="BB728" s="64">
        <v>0</v>
      </c>
      <c r="BC728" s="64"/>
      <c r="BD728" s="64">
        <v>118919.97069456</v>
      </c>
      <c r="BE728" s="64">
        <v>0</v>
      </c>
      <c r="BF728" s="64">
        <v>7486206.9364320002</v>
      </c>
      <c r="BG728" s="64">
        <v>0</v>
      </c>
      <c r="BH728" s="64">
        <v>0</v>
      </c>
      <c r="BI728" s="64">
        <v>0</v>
      </c>
      <c r="BJ728" s="64"/>
      <c r="BK728" s="65"/>
      <c r="BL728" s="66">
        <v>251128.48874544003</v>
      </c>
    </row>
    <row r="729" spans="1:64" x14ac:dyDescent="0.25">
      <c r="A729" s="141">
        <f t="shared" si="463"/>
        <v>710</v>
      </c>
      <c r="B729" s="142">
        <f t="shared" si="464"/>
        <v>252</v>
      </c>
      <c r="C729" s="62" t="s">
        <v>46</v>
      </c>
      <c r="D729" s="62" t="s">
        <v>271</v>
      </c>
      <c r="E729" s="123">
        <v>1971</v>
      </c>
      <c r="F729" s="123">
        <v>1971</v>
      </c>
      <c r="G729" s="123" t="s">
        <v>43</v>
      </c>
      <c r="H729" s="123">
        <v>4</v>
      </c>
      <c r="I729" s="123">
        <v>2</v>
      </c>
      <c r="J729" s="64">
        <v>1403.6</v>
      </c>
      <c r="K729" s="64">
        <v>1280.0999999999999</v>
      </c>
      <c r="L729" s="64">
        <v>42.7</v>
      </c>
      <c r="M729" s="124">
        <v>67</v>
      </c>
      <c r="N729" s="63">
        <f t="shared" si="484"/>
        <v>6292343.4388953922</v>
      </c>
      <c r="O729" s="64"/>
      <c r="P729" s="65"/>
      <c r="Q729" s="65"/>
      <c r="R729" s="65">
        <f t="shared" si="489"/>
        <v>844721.03</v>
      </c>
      <c r="S729" s="65">
        <f>+'Приложение №2'!E738-'Приложение №1'!P729-'Приложение №1'!R729</f>
        <v>5447622.408895392</v>
      </c>
      <c r="T729" s="65">
        <f>+'Приложение №2'!E738-'Приложение №1'!P729-'Приложение №1'!R729-'Приложение №1'!S729</f>
        <v>0</v>
      </c>
      <c r="U729" s="65">
        <f t="shared" si="462"/>
        <v>4915.5092874739412</v>
      </c>
      <c r="V729" s="65">
        <v>1393.2830200640001</v>
      </c>
      <c r="W729" s="126">
        <v>2024</v>
      </c>
      <c r="X729" s="127" t="e">
        <f>+#REF!-'[1]Приложение №1'!$P1844</f>
        <v>#REF!</v>
      </c>
      <c r="Z729" s="63">
        <f t="shared" si="498"/>
        <v>9191213.3916225992</v>
      </c>
      <c r="AA729" s="64">
        <v>3593084.3130982798</v>
      </c>
      <c r="AB729" s="64">
        <v>1317593.61677916</v>
      </c>
      <c r="AC729" s="64">
        <v>1376576.13711912</v>
      </c>
      <c r="AD729" s="64">
        <v>861839.95216703997</v>
      </c>
      <c r="AE729" s="64">
        <v>0</v>
      </c>
      <c r="AF729" s="64"/>
      <c r="AG729" s="64">
        <v>118617.80974259999</v>
      </c>
      <c r="AH729" s="64">
        <v>0</v>
      </c>
      <c r="AI729" s="64"/>
      <c r="AJ729" s="64">
        <v>0</v>
      </c>
      <c r="AK729" s="64">
        <v>0</v>
      </c>
      <c r="AL729" s="64">
        <v>0</v>
      </c>
      <c r="AM729" s="64">
        <v>1457239.736</v>
      </c>
      <c r="AN729" s="65">
        <v>159509.63800000001</v>
      </c>
      <c r="AO729" s="66">
        <v>306752.18871640007</v>
      </c>
      <c r="AP729" s="128">
        <f>+N729-'Приложение №2'!E738</f>
        <v>0</v>
      </c>
      <c r="AQ729" s="127">
        <f>698475.98</f>
        <v>698475.98</v>
      </c>
      <c r="AR729" s="25">
        <f t="shared" si="499"/>
        <v>146245.04999999999</v>
      </c>
      <c r="AS729" s="25">
        <f>+(K729*10.5+L729*21)*12*30</f>
        <v>5161590</v>
      </c>
      <c r="AT729" s="127">
        <f t="shared" si="465"/>
        <v>286032.40889539197</v>
      </c>
      <c r="AU729" s="127">
        <f>+P729-'[6]Приложение №1'!$P673</f>
        <v>0</v>
      </c>
      <c r="AV729" s="127">
        <f>+Q729-'[6]Приложение №1'!$Q673</f>
        <v>0</v>
      </c>
      <c r="AW729" s="88">
        <f t="shared" si="481"/>
        <v>6292343.4388953922</v>
      </c>
      <c r="AX729" s="64">
        <v>4579944.07</v>
      </c>
      <c r="AY729" s="64">
        <v>0</v>
      </c>
      <c r="AZ729" s="64">
        <v>1495590.896184</v>
      </c>
      <c r="BA729" s="64">
        <v>0</v>
      </c>
      <c r="BB729" s="64">
        <v>0</v>
      </c>
      <c r="BC729" s="64"/>
      <c r="BD729" s="64">
        <v>124902.41131799489</v>
      </c>
      <c r="BE729" s="64">
        <v>0</v>
      </c>
      <c r="BF729" s="64"/>
      <c r="BG729" s="64">
        <v>0</v>
      </c>
      <c r="BH729" s="64">
        <v>0</v>
      </c>
      <c r="BI729" s="64">
        <v>0</v>
      </c>
      <c r="BJ729" s="64"/>
      <c r="BK729" s="65"/>
      <c r="BL729" s="66">
        <v>91906.061393397351</v>
      </c>
    </row>
    <row r="730" spans="1:64" x14ac:dyDescent="0.25">
      <c r="A730" s="141">
        <f t="shared" si="463"/>
        <v>711</v>
      </c>
      <c r="B730" s="142">
        <f t="shared" si="464"/>
        <v>253</v>
      </c>
      <c r="C730" s="62" t="s">
        <v>46</v>
      </c>
      <c r="D730" s="62" t="s">
        <v>1101</v>
      </c>
      <c r="E730" s="123">
        <v>1993</v>
      </c>
      <c r="F730" s="123">
        <v>2009</v>
      </c>
      <c r="G730" s="123" t="s">
        <v>43</v>
      </c>
      <c r="H730" s="123">
        <v>9</v>
      </c>
      <c r="I730" s="123">
        <v>1</v>
      </c>
      <c r="J730" s="64">
        <v>2345</v>
      </c>
      <c r="K730" s="64">
        <v>1959.1</v>
      </c>
      <c r="L730" s="64">
        <v>0</v>
      </c>
      <c r="M730" s="124">
        <v>80</v>
      </c>
      <c r="N730" s="63">
        <f t="shared" si="484"/>
        <v>10997668.225369999</v>
      </c>
      <c r="O730" s="64"/>
      <c r="P730" s="65">
        <v>1497757.0491000004</v>
      </c>
      <c r="Q730" s="65"/>
      <c r="R730" s="65">
        <f t="shared" si="489"/>
        <v>0</v>
      </c>
      <c r="S730" s="65">
        <f t="shared" si="500"/>
        <v>5887896.8596875984</v>
      </c>
      <c r="T730" s="65">
        <f>+'Приложение №2'!E739-'Приложение №1'!P730-'Приложение №1'!R730-'Приложение №1'!S730</f>
        <v>3612014.3165824004</v>
      </c>
      <c r="U730" s="65">
        <f t="shared" si="462"/>
        <v>5613.6329056046143</v>
      </c>
      <c r="V730" s="65">
        <v>1394.2830200640001</v>
      </c>
      <c r="W730" s="126">
        <v>2024</v>
      </c>
      <c r="X730" s="127" t="e">
        <f>+#REF!-'[1]Приложение №1'!$P1603</f>
        <v>#REF!</v>
      </c>
      <c r="Z730" s="63">
        <f t="shared" si="498"/>
        <v>41352125.810000002</v>
      </c>
      <c r="AA730" s="64">
        <v>4542107.7549229199</v>
      </c>
      <c r="AB730" s="64">
        <v>3117271.1769024003</v>
      </c>
      <c r="AC730" s="64">
        <v>0</v>
      </c>
      <c r="AD730" s="64">
        <v>1712027.61216396</v>
      </c>
      <c r="AE730" s="64">
        <v>0</v>
      </c>
      <c r="AF730" s="64"/>
      <c r="AG730" s="64">
        <v>218511.8445216</v>
      </c>
      <c r="AH730" s="64">
        <v>0</v>
      </c>
      <c r="AI730" s="64">
        <v>2215753.9253135999</v>
      </c>
      <c r="AJ730" s="64">
        <v>0</v>
      </c>
      <c r="AK730" s="64">
        <v>19236210.842486817</v>
      </c>
      <c r="AL730" s="64">
        <v>5058707.7793799406</v>
      </c>
      <c r="AM730" s="64">
        <v>4048566.8085000003</v>
      </c>
      <c r="AN730" s="65">
        <v>413521.25809999998</v>
      </c>
      <c r="AO730" s="66">
        <v>789446.80770875991</v>
      </c>
      <c r="AP730" s="128">
        <f>+N730-'Приложение №2'!E739</f>
        <v>0</v>
      </c>
      <c r="AQ730" s="38">
        <f>1441230.66-R427</f>
        <v>-278760.33899999992</v>
      </c>
      <c r="AR730" s="25">
        <f>+(K730*13.95+L730*23.65)*12*0.85</f>
        <v>278760.33899999998</v>
      </c>
      <c r="AS730" s="25">
        <f>+(K730*13.95+L730*23.65)*12*30-S427</f>
        <v>5887896.8596875984</v>
      </c>
      <c r="AT730" s="127">
        <f t="shared" si="465"/>
        <v>0</v>
      </c>
      <c r="AU730" s="127">
        <f>+P730-'[6]Приложение №1'!$P674</f>
        <v>0</v>
      </c>
      <c r="AV730" s="127">
        <f>+Q730-'[6]Приложение №1'!$Q674</f>
        <v>0</v>
      </c>
      <c r="AW730" s="88">
        <f t="shared" si="481"/>
        <v>10997668.225369999</v>
      </c>
      <c r="AX730" s="64">
        <v>4903713.1158539997</v>
      </c>
      <c r="AY730" s="64"/>
      <c r="AZ730" s="64">
        <v>0</v>
      </c>
      <c r="BA730" s="64"/>
      <c r="BB730" s="64">
        <v>0</v>
      </c>
      <c r="BC730" s="64"/>
      <c r="BD730" s="64">
        <v>218511.8445216</v>
      </c>
      <c r="BE730" s="64">
        <v>0</v>
      </c>
      <c r="BF730" s="64"/>
      <c r="BG730" s="64"/>
      <c r="BH730" s="64"/>
      <c r="BI730" s="64">
        <v>5526213.8163120002</v>
      </c>
      <c r="BJ730" s="64"/>
      <c r="BK730" s="65"/>
      <c r="BL730" s="66">
        <v>349229.44868240005</v>
      </c>
    </row>
    <row r="731" spans="1:64" x14ac:dyDescent="0.25">
      <c r="A731" s="141">
        <f t="shared" si="463"/>
        <v>712</v>
      </c>
      <c r="B731" s="142">
        <f t="shared" si="464"/>
        <v>254</v>
      </c>
      <c r="C731" s="62" t="s">
        <v>46</v>
      </c>
      <c r="D731" s="62" t="s">
        <v>272</v>
      </c>
      <c r="E731" s="123">
        <v>1971</v>
      </c>
      <c r="F731" s="123">
        <v>2015</v>
      </c>
      <c r="G731" s="123" t="s">
        <v>43</v>
      </c>
      <c r="H731" s="123">
        <v>4</v>
      </c>
      <c r="I731" s="123">
        <v>1</v>
      </c>
      <c r="J731" s="64">
        <v>2344</v>
      </c>
      <c r="K731" s="64">
        <v>1634.9</v>
      </c>
      <c r="L731" s="64">
        <v>427.9</v>
      </c>
      <c r="M731" s="124">
        <v>68</v>
      </c>
      <c r="N731" s="63">
        <f t="shared" si="484"/>
        <v>11532330.678188758</v>
      </c>
      <c r="O731" s="64"/>
      <c r="P731" s="65">
        <v>417931.19377368968</v>
      </c>
      <c r="Q731" s="65"/>
      <c r="R731" s="65">
        <f t="shared" si="489"/>
        <v>1783723.81</v>
      </c>
      <c r="S731" s="65">
        <f>+'Приложение №2'!E740-'Приложение №1'!P731-'Приложение №1'!R731</f>
        <v>9330675.6744150687</v>
      </c>
      <c r="T731" s="65">
        <f>+'Приложение №2'!E740-'Приложение №1'!P731-'Приложение №1'!R731-'Приложение №1'!S731</f>
        <v>0</v>
      </c>
      <c r="U731" s="65">
        <f t="shared" si="462"/>
        <v>7053.8446866406248</v>
      </c>
      <c r="V731" s="65">
        <v>1395.2830200640001</v>
      </c>
      <c r="W731" s="126">
        <v>2024</v>
      </c>
      <c r="X731" s="127" t="e">
        <f>+#REF!-'[1]Приложение №1'!$P1845</f>
        <v>#REF!</v>
      </c>
      <c r="Z731" s="63">
        <f t="shared" si="498"/>
        <v>25262253.210000001</v>
      </c>
      <c r="AA731" s="64">
        <v>5690527.9739763001</v>
      </c>
      <c r="AB731" s="64">
        <v>2086731.8051672401</v>
      </c>
      <c r="AC731" s="64">
        <v>2180145.0619355398</v>
      </c>
      <c r="AD731" s="64">
        <v>1364934.3932783997</v>
      </c>
      <c r="AE731" s="64">
        <v>0</v>
      </c>
      <c r="AF731" s="64"/>
      <c r="AG731" s="64">
        <v>187860.32184275999</v>
      </c>
      <c r="AH731" s="64">
        <v>0</v>
      </c>
      <c r="AI731" s="64">
        <v>10705718.389564799</v>
      </c>
      <c r="AJ731" s="64">
        <v>0</v>
      </c>
      <c r="AK731" s="64">
        <v>0</v>
      </c>
      <c r="AL731" s="64">
        <v>0</v>
      </c>
      <c r="AM731" s="64">
        <v>2307895.6014999999</v>
      </c>
      <c r="AN731" s="65">
        <v>252622.53210000001</v>
      </c>
      <c r="AO731" s="66">
        <v>485817.13063496002</v>
      </c>
      <c r="AP731" s="128">
        <f>+N731-'Приложение №2'!E740</f>
        <v>0</v>
      </c>
      <c r="AQ731" s="127">
        <f>1516969.84</f>
        <v>1516969.84</v>
      </c>
      <c r="AR731" s="25">
        <f t="shared" ref="AR731:AR741" si="501">+(K731*10.5+L731*21)*12*0.85</f>
        <v>266753.96999999997</v>
      </c>
      <c r="AS731" s="25">
        <f>+(K731*10.5+L731*21)*12*30</f>
        <v>9414845.9999999981</v>
      </c>
      <c r="AT731" s="127">
        <f t="shared" si="465"/>
        <v>-84170.325584929436</v>
      </c>
      <c r="AU731" s="127">
        <f>+P731-'[6]Приложение №1'!$P675</f>
        <v>0</v>
      </c>
      <c r="AV731" s="127">
        <f>+Q731-'[6]Приложение №1'!$Q675</f>
        <v>0</v>
      </c>
      <c r="AW731" s="88">
        <f t="shared" si="481"/>
        <v>11532330.67818876</v>
      </c>
      <c r="AX731" s="64">
        <v>6199194.5115240002</v>
      </c>
      <c r="AY731" s="64">
        <v>2285392.4459100002</v>
      </c>
      <c r="AZ731" s="64">
        <v>2416203.8455380001</v>
      </c>
      <c r="BA731" s="64"/>
      <c r="BB731" s="64">
        <v>0</v>
      </c>
      <c r="BC731" s="64"/>
      <c r="BD731" s="64">
        <v>187860.32184275999</v>
      </c>
      <c r="BE731" s="64">
        <v>0</v>
      </c>
      <c r="BF731" s="64"/>
      <c r="BG731" s="64">
        <v>0</v>
      </c>
      <c r="BH731" s="64">
        <v>0</v>
      </c>
      <c r="BI731" s="64">
        <v>0</v>
      </c>
      <c r="BJ731" s="64"/>
      <c r="BK731" s="65"/>
      <c r="BL731" s="66">
        <v>443679.55337399995</v>
      </c>
    </row>
    <row r="732" spans="1:64" x14ac:dyDescent="0.25">
      <c r="A732" s="141">
        <f t="shared" si="463"/>
        <v>713</v>
      </c>
      <c r="B732" s="142">
        <f t="shared" si="464"/>
        <v>255</v>
      </c>
      <c r="C732" s="62" t="s">
        <v>46</v>
      </c>
      <c r="D732" s="62" t="s">
        <v>273</v>
      </c>
      <c r="E732" s="123">
        <v>1970</v>
      </c>
      <c r="F732" s="123">
        <v>2015</v>
      </c>
      <c r="G732" s="123" t="s">
        <v>43</v>
      </c>
      <c r="H732" s="123">
        <v>4</v>
      </c>
      <c r="I732" s="123">
        <v>2</v>
      </c>
      <c r="J732" s="64">
        <v>1403.6</v>
      </c>
      <c r="K732" s="64">
        <v>1288.25</v>
      </c>
      <c r="L732" s="64">
        <v>0</v>
      </c>
      <c r="M732" s="124">
        <v>53</v>
      </c>
      <c r="N732" s="63">
        <f t="shared" si="484"/>
        <v>5742442.6907279994</v>
      </c>
      <c r="O732" s="64"/>
      <c r="P732" s="65">
        <v>182520.66723549983</v>
      </c>
      <c r="Q732" s="65"/>
      <c r="R732" s="65">
        <f t="shared" si="489"/>
        <v>837432.3949999999</v>
      </c>
      <c r="S732" s="65">
        <f>+'Приложение №2'!E741-'Приложение №1'!P732-'Приложение №1'!R732</f>
        <v>4722489.6284924997</v>
      </c>
      <c r="T732" s="65">
        <f>+'Приложение №2'!E741-'Приложение №1'!P732-'Приложение №1'!R732-'Приложение №1'!S732</f>
        <v>0</v>
      </c>
      <c r="U732" s="65">
        <f t="shared" si="462"/>
        <v>4457.5530298684262</v>
      </c>
      <c r="V732" s="65">
        <v>1396.2830200640001</v>
      </c>
      <c r="W732" s="126">
        <v>2024</v>
      </c>
      <c r="X732" s="127" t="e">
        <f>+#REF!-'[1]Приложение №1'!$P1849</f>
        <v>#REF!</v>
      </c>
      <c r="Z732" s="63">
        <f t="shared" si="498"/>
        <v>16293169.239999998</v>
      </c>
      <c r="AA732" s="64">
        <v>3670168.8759317403</v>
      </c>
      <c r="AB732" s="64">
        <v>1345860.7249735198</v>
      </c>
      <c r="AC732" s="64">
        <v>1406108.636961</v>
      </c>
      <c r="AD732" s="64">
        <v>880329.51331247995</v>
      </c>
      <c r="AE732" s="64">
        <v>0</v>
      </c>
      <c r="AF732" s="64"/>
      <c r="AG732" s="64">
        <v>121162.59054059999</v>
      </c>
      <c r="AH732" s="64">
        <v>0</v>
      </c>
      <c r="AI732" s="64">
        <v>6904771.3217195999</v>
      </c>
      <c r="AJ732" s="64">
        <v>0</v>
      </c>
      <c r="AK732" s="64">
        <v>0</v>
      </c>
      <c r="AL732" s="64">
        <v>0</v>
      </c>
      <c r="AM732" s="64">
        <v>1488502.7597000001</v>
      </c>
      <c r="AN732" s="65">
        <v>162931.6924</v>
      </c>
      <c r="AO732" s="66">
        <v>313333.12446105998</v>
      </c>
      <c r="AP732" s="128">
        <f>+N732-'Приложение №2'!E741</f>
        <v>0</v>
      </c>
      <c r="AQ732" s="127">
        <f>699460.82</f>
        <v>699460.82</v>
      </c>
      <c r="AR732" s="25">
        <f t="shared" si="501"/>
        <v>137971.57499999998</v>
      </c>
      <c r="AS732" s="25">
        <f>+(K732*10.5+L732*21)*12*30</f>
        <v>4869585</v>
      </c>
      <c r="AT732" s="127">
        <f t="shared" si="465"/>
        <v>-147095.3715075003</v>
      </c>
      <c r="AU732" s="127">
        <f>+P732-'[6]Приложение №1'!$P676</f>
        <v>0</v>
      </c>
      <c r="AV732" s="127">
        <f>+Q732-'[6]Приложение №1'!$Q676</f>
        <v>0</v>
      </c>
      <c r="AW732" s="88">
        <f t="shared" si="481"/>
        <v>5742442.6907279994</v>
      </c>
      <c r="AX732" s="64">
        <v>3982032.6019740002</v>
      </c>
      <c r="AY732" s="64"/>
      <c r="AZ732" s="64">
        <v>1551107.3145539998</v>
      </c>
      <c r="BA732" s="64"/>
      <c r="BB732" s="64">
        <v>0</v>
      </c>
      <c r="BC732" s="64"/>
      <c r="BD732" s="64">
        <v>121162.59054059999</v>
      </c>
      <c r="BE732" s="64">
        <v>0</v>
      </c>
      <c r="BF732" s="64"/>
      <c r="BG732" s="64">
        <v>0</v>
      </c>
      <c r="BH732" s="64">
        <v>0</v>
      </c>
      <c r="BI732" s="64">
        <v>0</v>
      </c>
      <c r="BJ732" s="64"/>
      <c r="BK732" s="65"/>
      <c r="BL732" s="66">
        <v>88140.183659400005</v>
      </c>
    </row>
    <row r="733" spans="1:64" x14ac:dyDescent="0.25">
      <c r="A733" s="141">
        <f t="shared" si="463"/>
        <v>714</v>
      </c>
      <c r="B733" s="142">
        <f t="shared" si="464"/>
        <v>256</v>
      </c>
      <c r="C733" s="62" t="s">
        <v>46</v>
      </c>
      <c r="D733" s="62" t="s">
        <v>274</v>
      </c>
      <c r="E733" s="123">
        <v>1970</v>
      </c>
      <c r="F733" s="123">
        <v>2015</v>
      </c>
      <c r="G733" s="123" t="s">
        <v>43</v>
      </c>
      <c r="H733" s="123">
        <v>4</v>
      </c>
      <c r="I733" s="123">
        <v>2</v>
      </c>
      <c r="J733" s="64">
        <v>1397.9</v>
      </c>
      <c r="K733" s="64">
        <v>1284</v>
      </c>
      <c r="L733" s="64">
        <v>0</v>
      </c>
      <c r="M733" s="124">
        <v>70</v>
      </c>
      <c r="N733" s="63">
        <f t="shared" si="484"/>
        <v>12145710.702209139</v>
      </c>
      <c r="O733" s="64"/>
      <c r="P733" s="65">
        <v>1025873.1100000001</v>
      </c>
      <c r="Q733" s="65"/>
      <c r="R733" s="65">
        <f>+AR733</f>
        <v>137516.4</v>
      </c>
      <c r="S733" s="65">
        <f t="shared" si="500"/>
        <v>4853520</v>
      </c>
      <c r="T733" s="65">
        <f>+'Приложение №2'!E742-'Приложение №1'!P733-'Приложение №1'!R733-'Приложение №1'!S733</f>
        <v>6128801.1922091395</v>
      </c>
      <c r="U733" s="65">
        <f t="shared" si="462"/>
        <v>9459.2762478264322</v>
      </c>
      <c r="V733" s="65">
        <v>1397.2830200640001</v>
      </c>
      <c r="W733" s="126">
        <v>2024</v>
      </c>
      <c r="X733" s="127" t="e">
        <f>+#REF!-'[1]Приложение №1'!$P1850</f>
        <v>#REF!</v>
      </c>
      <c r="Z733" s="63">
        <f t="shared" si="498"/>
        <v>16240473.409999998</v>
      </c>
      <c r="AA733" s="64">
        <v>3658298.7075726003</v>
      </c>
      <c r="AB733" s="64">
        <v>1341507.9059104801</v>
      </c>
      <c r="AC733" s="64">
        <v>1401560.9593595399</v>
      </c>
      <c r="AD733" s="64">
        <v>877482.32671679999</v>
      </c>
      <c r="AE733" s="64">
        <v>0</v>
      </c>
      <c r="AF733" s="64"/>
      <c r="AG733" s="64">
        <v>120770.72210951999</v>
      </c>
      <c r="AH733" s="64">
        <v>0</v>
      </c>
      <c r="AI733" s="64">
        <v>6882439.7186495997</v>
      </c>
      <c r="AJ733" s="64">
        <v>0</v>
      </c>
      <c r="AK733" s="64">
        <v>0</v>
      </c>
      <c r="AL733" s="64">
        <v>0</v>
      </c>
      <c r="AM733" s="64">
        <v>1483688.602</v>
      </c>
      <c r="AN733" s="65">
        <v>162404.7341</v>
      </c>
      <c r="AO733" s="66">
        <v>312319.73358146002</v>
      </c>
      <c r="AP733" s="128">
        <f>+N733-'Приложение №2'!E742</f>
        <v>0</v>
      </c>
      <c r="AQ733" s="127">
        <f>676023.93</f>
        <v>676023.93</v>
      </c>
      <c r="AR733" s="25">
        <f t="shared" si="501"/>
        <v>137516.4</v>
      </c>
      <c r="AS733" s="25">
        <f>+(K733*10.5+L733*21)*12*30</f>
        <v>4853520</v>
      </c>
      <c r="AT733" s="127">
        <f t="shared" si="465"/>
        <v>0</v>
      </c>
      <c r="AU733" s="127">
        <f>+P733-'[6]Приложение №1'!$P677</f>
        <v>0</v>
      </c>
      <c r="AV733" s="127">
        <f>+Q733-'[6]Приложение №1'!$Q677</f>
        <v>0</v>
      </c>
      <c r="AW733" s="88">
        <f t="shared" si="481"/>
        <v>12145710.702209139</v>
      </c>
      <c r="AX733" s="64">
        <v>3658298.7075726003</v>
      </c>
      <c r="AY733" s="64"/>
      <c r="AZ733" s="64">
        <v>1401560.9593595399</v>
      </c>
      <c r="BA733" s="64"/>
      <c r="BB733" s="64">
        <v>0</v>
      </c>
      <c r="BC733" s="64"/>
      <c r="BD733" s="64">
        <v>120770.72210951999</v>
      </c>
      <c r="BE733" s="64">
        <v>0</v>
      </c>
      <c r="BF733" s="64">
        <v>6882439.7186495997</v>
      </c>
      <c r="BG733" s="64">
        <v>0</v>
      </c>
      <c r="BH733" s="64">
        <v>0</v>
      </c>
      <c r="BI733" s="64">
        <v>0</v>
      </c>
      <c r="BJ733" s="64"/>
      <c r="BK733" s="65"/>
      <c r="BL733" s="66">
        <v>82640.594517880003</v>
      </c>
    </row>
    <row r="734" spans="1:64" x14ac:dyDescent="0.25">
      <c r="A734" s="141">
        <f t="shared" si="463"/>
        <v>715</v>
      </c>
      <c r="B734" s="142">
        <f t="shared" si="464"/>
        <v>257</v>
      </c>
      <c r="C734" s="62" t="s">
        <v>46</v>
      </c>
      <c r="D734" s="62" t="s">
        <v>275</v>
      </c>
      <c r="E734" s="123">
        <v>1970</v>
      </c>
      <c r="F734" s="123">
        <v>2015</v>
      </c>
      <c r="G734" s="123" t="s">
        <v>43</v>
      </c>
      <c r="H734" s="123">
        <v>4</v>
      </c>
      <c r="I734" s="123">
        <v>2</v>
      </c>
      <c r="J734" s="64">
        <v>1401</v>
      </c>
      <c r="K734" s="64">
        <v>1279.2</v>
      </c>
      <c r="L734" s="64">
        <v>0</v>
      </c>
      <c r="M734" s="124">
        <v>66</v>
      </c>
      <c r="N734" s="63">
        <f t="shared" ref="N734:N789" si="502">SUM(O734:T734)</f>
        <v>12143811.453101579</v>
      </c>
      <c r="O734" s="64"/>
      <c r="P734" s="65">
        <v>1025712.6925</v>
      </c>
      <c r="Q734" s="65"/>
      <c r="R734" s="65">
        <f>+AR734</f>
        <v>137002.32</v>
      </c>
      <c r="S734" s="65">
        <f t="shared" si="500"/>
        <v>4835376</v>
      </c>
      <c r="T734" s="65">
        <f>+'Приложение №2'!E743-'Приложение №1'!P734-'Приложение №1'!R734-'Приложение №1'!S734</f>
        <v>6145720.440601578</v>
      </c>
      <c r="U734" s="65">
        <f t="shared" si="462"/>
        <v>9493.2860014865382</v>
      </c>
      <c r="V734" s="65">
        <v>1398.2830200640001</v>
      </c>
      <c r="W734" s="126">
        <v>2024</v>
      </c>
      <c r="X734" s="127" t="e">
        <f>+#REF!-'[1]Приложение №1'!$P1851</f>
        <v>#REF!</v>
      </c>
      <c r="Z734" s="63">
        <f t="shared" si="498"/>
        <v>16237933.850000001</v>
      </c>
      <c r="AA734" s="64">
        <v>3657726.6514807204</v>
      </c>
      <c r="AB734" s="64">
        <v>1341298.1279300398</v>
      </c>
      <c r="AC734" s="64">
        <v>1401341.7924949802</v>
      </c>
      <c r="AD734" s="64">
        <v>877345.11290495994</v>
      </c>
      <c r="AE734" s="64">
        <v>0</v>
      </c>
      <c r="AF734" s="64"/>
      <c r="AG734" s="64">
        <v>120751.8388482</v>
      </c>
      <c r="AH734" s="64">
        <v>0</v>
      </c>
      <c r="AI734" s="64">
        <v>6881363.4984066002</v>
      </c>
      <c r="AJ734" s="64">
        <v>0</v>
      </c>
      <c r="AK734" s="64">
        <v>0</v>
      </c>
      <c r="AL734" s="64">
        <v>0</v>
      </c>
      <c r="AM734" s="64">
        <v>1483456.594</v>
      </c>
      <c r="AN734" s="65">
        <v>162379.33850000001</v>
      </c>
      <c r="AO734" s="66">
        <v>312270.89543449995</v>
      </c>
      <c r="AP734" s="128">
        <f>+N734-'Приложение №2'!E743</f>
        <v>0</v>
      </c>
      <c r="AQ734" s="127">
        <f>752403.54</f>
        <v>752403.54</v>
      </c>
      <c r="AR734" s="25">
        <f t="shared" si="501"/>
        <v>137002.32</v>
      </c>
      <c r="AS734" s="25">
        <f>+(K734*10.5+L734*21)*12*30</f>
        <v>4835376</v>
      </c>
      <c r="AT734" s="127">
        <f t="shared" si="465"/>
        <v>0</v>
      </c>
      <c r="AU734" s="127">
        <f>+P734-'[6]Приложение №1'!$P678</f>
        <v>0</v>
      </c>
      <c r="AV734" s="127">
        <f>+Q734-'[6]Приложение №1'!$Q678</f>
        <v>0</v>
      </c>
      <c r="AW734" s="88">
        <f t="shared" si="481"/>
        <v>12143811.453101579</v>
      </c>
      <c r="AX734" s="64">
        <v>3657726.6514807204</v>
      </c>
      <c r="AY734" s="64"/>
      <c r="AZ734" s="64">
        <v>1401341.7924949802</v>
      </c>
      <c r="BA734" s="64"/>
      <c r="BB734" s="64">
        <v>0</v>
      </c>
      <c r="BC734" s="64"/>
      <c r="BD734" s="64">
        <v>120751.8388482</v>
      </c>
      <c r="BE734" s="64">
        <v>0</v>
      </c>
      <c r="BF734" s="64">
        <v>6881363.4984066002</v>
      </c>
      <c r="BG734" s="64">
        <v>0</v>
      </c>
      <c r="BH734" s="64">
        <v>0</v>
      </c>
      <c r="BI734" s="64">
        <v>0</v>
      </c>
      <c r="BJ734" s="64"/>
      <c r="BK734" s="65"/>
      <c r="BL734" s="66">
        <v>82627.671871080005</v>
      </c>
    </row>
    <row r="735" spans="1:64" x14ac:dyDescent="0.25">
      <c r="A735" s="141">
        <f t="shared" si="463"/>
        <v>716</v>
      </c>
      <c r="B735" s="142">
        <f t="shared" si="464"/>
        <v>258</v>
      </c>
      <c r="C735" s="62" t="s">
        <v>46</v>
      </c>
      <c r="D735" s="62" t="s">
        <v>276</v>
      </c>
      <c r="E735" s="123">
        <v>1970</v>
      </c>
      <c r="F735" s="123">
        <v>2015</v>
      </c>
      <c r="G735" s="123" t="s">
        <v>43</v>
      </c>
      <c r="H735" s="123">
        <v>4</v>
      </c>
      <c r="I735" s="123">
        <v>2</v>
      </c>
      <c r="J735" s="64">
        <v>1391.9</v>
      </c>
      <c r="K735" s="64">
        <v>1360</v>
      </c>
      <c r="L735" s="64">
        <v>0</v>
      </c>
      <c r="M735" s="124">
        <v>56</v>
      </c>
      <c r="N735" s="95">
        <f>+P735+Q735+R735+S735+T735</f>
        <v>13671731.356000001</v>
      </c>
      <c r="O735" s="64"/>
      <c r="P735" s="65">
        <v>2814922.1966666668</v>
      </c>
      <c r="Q735" s="65"/>
      <c r="R735" s="65">
        <f>+AQ735+AR735</f>
        <v>710136.45</v>
      </c>
      <c r="S735" s="65">
        <f>+AS735</f>
        <v>4896000</v>
      </c>
      <c r="T735" s="65">
        <f>+'Приложение №2'!E744-'Приложение №1'!P735-'Приложение №1'!Q735-'Приложение №1'!R735-'Приложение №1'!S735</f>
        <v>5250672.7093333341</v>
      </c>
      <c r="U735" s="64">
        <f>$N735/($K735+$L735)</f>
        <v>10052.743644117647</v>
      </c>
      <c r="V735" s="64">
        <f>$N735/($K735+$L735)</f>
        <v>10052.743644117647</v>
      </c>
      <c r="W735" s="126">
        <v>2024</v>
      </c>
      <c r="X735" s="127" t="e">
        <f>+#REF!-'[1]Приложение №1'!$P1605</f>
        <v>#REF!</v>
      </c>
      <c r="Z735" s="63">
        <f>SUM(AA735:AO735)</f>
        <v>16410623.789999999</v>
      </c>
      <c r="AA735" s="64">
        <v>3696626.46572856</v>
      </c>
      <c r="AB735" s="64">
        <v>1355562.7954423798</v>
      </c>
      <c r="AC735" s="64">
        <v>1416245.0260610401</v>
      </c>
      <c r="AD735" s="64">
        <v>886675.65211008</v>
      </c>
      <c r="AE735" s="64">
        <v>0</v>
      </c>
      <c r="AF735" s="64"/>
      <c r="AG735" s="64">
        <v>122036.02529159999</v>
      </c>
      <c r="AH735" s="64">
        <v>0</v>
      </c>
      <c r="AI735" s="64">
        <v>6954546.5894267997</v>
      </c>
      <c r="AJ735" s="64">
        <v>0</v>
      </c>
      <c r="AK735" s="64">
        <v>0</v>
      </c>
      <c r="AL735" s="64">
        <v>0</v>
      </c>
      <c r="AM735" s="64">
        <v>1499233.111</v>
      </c>
      <c r="AN735" s="65">
        <v>164106.23790000001</v>
      </c>
      <c r="AO735" s="66">
        <v>315591.88703953999</v>
      </c>
      <c r="AP735" s="128">
        <f>+N735-'Приложение №2'!E744</f>
        <v>0</v>
      </c>
      <c r="AQ735" s="23">
        <v>571416.44999999995</v>
      </c>
      <c r="AR735" s="25">
        <f>+(K735*10+L735*20)*12*0.85</f>
        <v>138720</v>
      </c>
      <c r="AS735" s="25">
        <f>+(K735*10+L735*20)*12*30</f>
        <v>4896000</v>
      </c>
      <c r="AT735" s="127">
        <f>+S735-AS735</f>
        <v>0</v>
      </c>
      <c r="AU735" s="127">
        <f>+P735-'[6]Приложение №1'!$P386</f>
        <v>0</v>
      </c>
      <c r="AV735" s="127">
        <f>+Q735-'[6]Приложение №1'!$Q386</f>
        <v>0</v>
      </c>
      <c r="AW735" s="63">
        <f>SUBTOTAL(9,AX735:BL735)</f>
        <v>13671731.356000001</v>
      </c>
      <c r="AX735" s="64">
        <v>4011119.128548</v>
      </c>
      <c r="AY735" s="64"/>
      <c r="AZ735" s="64">
        <v>1562537.0591880002</v>
      </c>
      <c r="BA735" s="64"/>
      <c r="BB735" s="64">
        <v>0</v>
      </c>
      <c r="BC735" s="64"/>
      <c r="BD735" s="64">
        <v>122036.02529159999</v>
      </c>
      <c r="BE735" s="64">
        <v>0</v>
      </c>
      <c r="BF735" s="64">
        <v>7683464.0919540003</v>
      </c>
      <c r="BG735" s="64">
        <v>0</v>
      </c>
      <c r="BH735" s="64">
        <v>0</v>
      </c>
      <c r="BI735" s="64">
        <v>0</v>
      </c>
      <c r="BJ735" s="64"/>
      <c r="BK735" s="65"/>
      <c r="BL735" s="66">
        <v>292575.05101840006</v>
      </c>
    </row>
    <row r="736" spans="1:64" x14ac:dyDescent="0.25">
      <c r="A736" s="141">
        <f t="shared" ref="A736:A795" si="503">+A735+1</f>
        <v>717</v>
      </c>
      <c r="B736" s="142">
        <f t="shared" ref="B736:B795" si="504">+B735+1</f>
        <v>259</v>
      </c>
      <c r="C736" s="62" t="s">
        <v>46</v>
      </c>
      <c r="D736" s="62" t="s">
        <v>277</v>
      </c>
      <c r="E736" s="123">
        <v>1970</v>
      </c>
      <c r="F736" s="123">
        <v>2015</v>
      </c>
      <c r="G736" s="123" t="s">
        <v>43</v>
      </c>
      <c r="H736" s="123">
        <v>4</v>
      </c>
      <c r="I736" s="123">
        <v>3</v>
      </c>
      <c r="J736" s="64">
        <v>2337.1999999999998</v>
      </c>
      <c r="K736" s="64">
        <v>1988.4</v>
      </c>
      <c r="L736" s="64">
        <v>46.7</v>
      </c>
      <c r="M736" s="124">
        <v>101</v>
      </c>
      <c r="N736" s="95">
        <f t="shared" ref="N736" si="505">+P736+Q736+R736+S736+T736</f>
        <v>2989464.9213971603</v>
      </c>
      <c r="O736" s="64"/>
      <c r="P736" s="65"/>
      <c r="Q736" s="65"/>
      <c r="R736" s="65">
        <f>+AR736</f>
        <v>212343.6</v>
      </c>
      <c r="S736" s="65">
        <f>+AS736</f>
        <v>0</v>
      </c>
      <c r="T736" s="65">
        <f>+'Приложение №2'!E745-'Приложение №1'!P736-'Приложение №1'!Q736-'Приложение №1'!R736-'Приложение №1'!S736</f>
        <v>2777121.3213971602</v>
      </c>
      <c r="U736" s="64">
        <f t="shared" ref="U736:V736" si="506">$N736/($K736+$L736)</f>
        <v>1468.9523470085794</v>
      </c>
      <c r="V736" s="64">
        <f t="shared" si="506"/>
        <v>1468.9523470085794</v>
      </c>
      <c r="W736" s="126">
        <v>2024</v>
      </c>
      <c r="X736" s="127" t="e">
        <f>+#REF!-'[1]Приложение №1'!$P1943</f>
        <v>#REF!</v>
      </c>
      <c r="Z736" s="63">
        <f t="shared" ref="Z736" si="507">SUM(AA736:AO736)</f>
        <v>25877715.080000002</v>
      </c>
      <c r="AA736" s="64">
        <v>5829165.7651718399</v>
      </c>
      <c r="AB736" s="64">
        <v>2137570.6530305399</v>
      </c>
      <c r="AC736" s="64">
        <v>2233259.7213103799</v>
      </c>
      <c r="AD736" s="64">
        <v>1398188.1572114399</v>
      </c>
      <c r="AE736" s="64">
        <v>0</v>
      </c>
      <c r="AF736" s="64"/>
      <c r="AG736" s="64">
        <v>192437.14870883999</v>
      </c>
      <c r="AH736" s="64">
        <v>0</v>
      </c>
      <c r="AI736" s="64">
        <v>10966540.7948166</v>
      </c>
      <c r="AJ736" s="64">
        <v>0</v>
      </c>
      <c r="AK736" s="64">
        <v>0</v>
      </c>
      <c r="AL736" s="64">
        <v>0</v>
      </c>
      <c r="AM736" s="64">
        <v>2364122.6418000003</v>
      </c>
      <c r="AN736" s="65">
        <v>258777.15079999997</v>
      </c>
      <c r="AO736" s="66">
        <v>497653.04715035995</v>
      </c>
      <c r="AP736" s="128">
        <f>+N736-'Приложение №2'!E745</f>
        <v>0</v>
      </c>
      <c r="AQ736" s="127">
        <f>960970.65-R428</f>
        <v>-212343.59999999998</v>
      </c>
      <c r="AR736" s="25">
        <f t="shared" ref="AR736" si="508">+(K736*10+L736*20)*12*0.85</f>
        <v>212343.6</v>
      </c>
      <c r="AS736" s="25">
        <f>+(K736*10+L736*20)*12*30-S428</f>
        <v>0</v>
      </c>
      <c r="AT736" s="127">
        <f t="shared" ref="AT736" si="509">+S736-AS736</f>
        <v>0</v>
      </c>
      <c r="AU736" s="127">
        <f>+P736-'[6]Приложение №1'!$P724</f>
        <v>0</v>
      </c>
      <c r="AV736" s="127">
        <f>+Q736-'[6]Приложение №1'!$Q724</f>
        <v>0</v>
      </c>
      <c r="AW736" s="63">
        <f t="shared" ref="AW736" si="510">SUBTOTAL(9,AX736:BL736)</f>
        <v>2989464.9213971603</v>
      </c>
      <c r="AX736" s="64"/>
      <c r="AY736" s="64"/>
      <c r="AZ736" s="64">
        <v>2475810.0486000003</v>
      </c>
      <c r="BA736" s="64"/>
      <c r="BB736" s="64">
        <v>0</v>
      </c>
      <c r="BC736" s="64"/>
      <c r="BD736" s="64"/>
      <c r="BE736" s="64"/>
      <c r="BF736" s="64"/>
      <c r="BG736" s="64">
        <v>0</v>
      </c>
      <c r="BH736" s="64">
        <v>0</v>
      </c>
      <c r="BI736" s="64">
        <v>0</v>
      </c>
      <c r="BJ736" s="64"/>
      <c r="BK736" s="65"/>
      <c r="BL736" s="66">
        <v>513654.87279715994</v>
      </c>
    </row>
    <row r="737" spans="1:64" x14ac:dyDescent="0.25">
      <c r="A737" s="141">
        <f t="shared" si="503"/>
        <v>718</v>
      </c>
      <c r="B737" s="142">
        <f t="shared" si="504"/>
        <v>260</v>
      </c>
      <c r="C737" s="62" t="s">
        <v>46</v>
      </c>
      <c r="D737" s="62" t="s">
        <v>278</v>
      </c>
      <c r="E737" s="123">
        <v>1969</v>
      </c>
      <c r="F737" s="123">
        <v>2013</v>
      </c>
      <c r="G737" s="123" t="s">
        <v>43</v>
      </c>
      <c r="H737" s="123">
        <v>4</v>
      </c>
      <c r="I737" s="123">
        <v>2</v>
      </c>
      <c r="J737" s="64">
        <v>1404.7</v>
      </c>
      <c r="K737" s="64">
        <v>951</v>
      </c>
      <c r="L737" s="64">
        <v>348.8</v>
      </c>
      <c r="M737" s="124">
        <v>39</v>
      </c>
      <c r="N737" s="63">
        <f t="shared" si="502"/>
        <v>5806452.0971840005</v>
      </c>
      <c r="O737" s="64"/>
      <c r="P737" s="65"/>
      <c r="Q737" s="65"/>
      <c r="R737" s="65">
        <f>+AQ737+AR737</f>
        <v>714352.14999999991</v>
      </c>
      <c r="S737" s="65">
        <f>+'Приложение №2'!E746-'Приложение №1'!R737</f>
        <v>5092099.9471840002</v>
      </c>
      <c r="T737" s="65">
        <v>0</v>
      </c>
      <c r="U737" s="65">
        <f t="shared" si="462"/>
        <v>6105.6278624437437</v>
      </c>
      <c r="V737" s="65">
        <v>1399.2830200640001</v>
      </c>
      <c r="W737" s="126">
        <v>2024</v>
      </c>
      <c r="X737" s="127" t="e">
        <f>+#REF!-'[1]Приложение №1'!$P1852</f>
        <v>#REF!</v>
      </c>
      <c r="Z737" s="63">
        <f t="shared" si="498"/>
        <v>16476652.310000001</v>
      </c>
      <c r="AA737" s="64">
        <v>3711499.9241174399</v>
      </c>
      <c r="AB737" s="64">
        <v>1361016.9358384202</v>
      </c>
      <c r="AC737" s="64">
        <v>1421943.3122823602</v>
      </c>
      <c r="AD737" s="64">
        <v>890243.21121792006</v>
      </c>
      <c r="AE737" s="64">
        <v>0</v>
      </c>
      <c r="AF737" s="64"/>
      <c r="AG737" s="64">
        <v>122527.0476276</v>
      </c>
      <c r="AH737" s="64">
        <v>0</v>
      </c>
      <c r="AI737" s="64">
        <v>6982528.3685892001</v>
      </c>
      <c r="AJ737" s="64">
        <v>0</v>
      </c>
      <c r="AK737" s="64">
        <v>0</v>
      </c>
      <c r="AL737" s="64">
        <v>0</v>
      </c>
      <c r="AM737" s="64">
        <v>1505265.3089999999</v>
      </c>
      <c r="AN737" s="65">
        <v>164766.52309999999</v>
      </c>
      <c r="AO737" s="66">
        <v>316861.67822706001</v>
      </c>
      <c r="AP737" s="128">
        <f>+N737-'Приложение №2'!E746</f>
        <v>0</v>
      </c>
      <c r="AQ737" s="127">
        <f>537787.09</f>
        <v>537787.09</v>
      </c>
      <c r="AR737" s="25">
        <f t="shared" si="501"/>
        <v>176565.05999999997</v>
      </c>
      <c r="AS737" s="25">
        <f>+(K737*10.5+L737*21)*12*30</f>
        <v>6231707.9999999991</v>
      </c>
      <c r="AT737" s="127">
        <f t="shared" si="465"/>
        <v>-1139608.0528159989</v>
      </c>
      <c r="AU737" s="127">
        <f>+P737-'[6]Приложение №1'!$P679</f>
        <v>0</v>
      </c>
      <c r="AV737" s="127">
        <f>+Q737-'[6]Приложение №1'!$Q679</f>
        <v>0</v>
      </c>
      <c r="AW737" s="88">
        <f t="shared" si="481"/>
        <v>5806452.0971839996</v>
      </c>
      <c r="AX737" s="64">
        <v>4026579.3155699996</v>
      </c>
      <c r="AY737" s="64"/>
      <c r="AZ737" s="64">
        <v>1568314.713588</v>
      </c>
      <c r="BA737" s="64"/>
      <c r="BB737" s="64">
        <v>0</v>
      </c>
      <c r="BC737" s="64"/>
      <c r="BD737" s="64">
        <v>122527.0476276</v>
      </c>
      <c r="BE737" s="64">
        <v>0</v>
      </c>
      <c r="BF737" s="64"/>
      <c r="BG737" s="64">
        <v>0</v>
      </c>
      <c r="BH737" s="64">
        <v>0</v>
      </c>
      <c r="BI737" s="64">
        <v>0</v>
      </c>
      <c r="BJ737" s="64"/>
      <c r="BK737" s="65"/>
      <c r="BL737" s="66">
        <v>89031.020398399996</v>
      </c>
    </row>
    <row r="738" spans="1:64" x14ac:dyDescent="0.25">
      <c r="A738" s="141">
        <f t="shared" si="503"/>
        <v>719</v>
      </c>
      <c r="B738" s="142">
        <f t="shared" si="504"/>
        <v>261</v>
      </c>
      <c r="C738" s="62" t="s">
        <v>46</v>
      </c>
      <c r="D738" s="62" t="s">
        <v>279</v>
      </c>
      <c r="E738" s="123">
        <v>1969</v>
      </c>
      <c r="F738" s="123">
        <v>2015</v>
      </c>
      <c r="G738" s="123" t="s">
        <v>43</v>
      </c>
      <c r="H738" s="123">
        <v>4</v>
      </c>
      <c r="I738" s="123">
        <v>2</v>
      </c>
      <c r="J738" s="64">
        <v>1374</v>
      </c>
      <c r="K738" s="64">
        <v>1181.29</v>
      </c>
      <c r="L738" s="64">
        <v>71.900000000000006</v>
      </c>
      <c r="M738" s="124">
        <v>60</v>
      </c>
      <c r="N738" s="63">
        <f t="shared" si="502"/>
        <v>13001441.511314001</v>
      </c>
      <c r="O738" s="64"/>
      <c r="P738" s="65">
        <v>1032644.9850015</v>
      </c>
      <c r="Q738" s="65"/>
      <c r="R738" s="65">
        <f t="shared" ref="R738:S741" si="511">+AR738</f>
        <v>141917.139</v>
      </c>
      <c r="S738" s="65">
        <f t="shared" si="511"/>
        <v>5008840.2</v>
      </c>
      <c r="T738" s="65">
        <f>+'Приложение №2'!E747-'Приложение №1'!P738-'Приложение №1'!R738-'Приложение №1'!S738</f>
        <v>6818039.1873124996</v>
      </c>
      <c r="U738" s="65">
        <f t="shared" si="462"/>
        <v>11006.138637687614</v>
      </c>
      <c r="V738" s="65">
        <v>1400.2830200640001</v>
      </c>
      <c r="W738" s="126">
        <v>2024</v>
      </c>
      <c r="X738" s="127" t="e">
        <f>+#REF!-'[1]Приложение №1'!$P1853</f>
        <v>#REF!</v>
      </c>
      <c r="Z738" s="63">
        <f t="shared" si="498"/>
        <v>15905124.779999999</v>
      </c>
      <c r="AA738" s="64">
        <v>3582758.6997493198</v>
      </c>
      <c r="AB738" s="64">
        <v>1313807.1878118601</v>
      </c>
      <c r="AC738" s="64">
        <v>1372620.2030843401</v>
      </c>
      <c r="AD738" s="64">
        <v>859363.24454651994</v>
      </c>
      <c r="AE738" s="64">
        <v>0</v>
      </c>
      <c r="AF738" s="64"/>
      <c r="AG738" s="64">
        <v>118276.93283028001</v>
      </c>
      <c r="AH738" s="64">
        <v>0</v>
      </c>
      <c r="AI738" s="64">
        <v>6740324.6043672003</v>
      </c>
      <c r="AJ738" s="64">
        <v>0</v>
      </c>
      <c r="AK738" s="64">
        <v>0</v>
      </c>
      <c r="AL738" s="64">
        <v>0</v>
      </c>
      <c r="AM738" s="64">
        <v>1453051.9989999998</v>
      </c>
      <c r="AN738" s="65">
        <v>159051.24780000001</v>
      </c>
      <c r="AO738" s="66">
        <v>305870.66081048007</v>
      </c>
      <c r="AP738" s="128">
        <f>+N738-'Приложение №2'!E747</f>
        <v>0</v>
      </c>
      <c r="AQ738" s="127">
        <f>637763.96</f>
        <v>637763.96</v>
      </c>
      <c r="AR738" s="25">
        <f t="shared" si="501"/>
        <v>141917.139</v>
      </c>
      <c r="AS738" s="25">
        <f>+(K738*10.5+L738*21)*12*30</f>
        <v>5008840.2</v>
      </c>
      <c r="AT738" s="127">
        <f t="shared" si="465"/>
        <v>0</v>
      </c>
      <c r="AU738" s="127">
        <f>+P738-'[6]Приложение №1'!$P680</f>
        <v>0</v>
      </c>
      <c r="AV738" s="127">
        <f>+Q738-'[6]Приложение №1'!$Q680</f>
        <v>0</v>
      </c>
      <c r="AW738" s="88">
        <f t="shared" si="481"/>
        <v>13001441.511314001</v>
      </c>
      <c r="AX738" s="64">
        <v>3885914.2848959998</v>
      </c>
      <c r="AY738" s="64"/>
      <c r="AZ738" s="64">
        <v>1513519.582134</v>
      </c>
      <c r="BA738" s="64"/>
      <c r="BB738" s="64">
        <v>0</v>
      </c>
      <c r="BC738" s="64"/>
      <c r="BD738" s="64">
        <v>118276.93283028001</v>
      </c>
      <c r="BE738" s="64">
        <v>0</v>
      </c>
      <c r="BF738" s="64">
        <v>7398774.3793740012</v>
      </c>
      <c r="BG738" s="64">
        <v>0</v>
      </c>
      <c r="BH738" s="64">
        <v>0</v>
      </c>
      <c r="BI738" s="64">
        <v>0</v>
      </c>
      <c r="BJ738" s="64"/>
      <c r="BK738" s="65"/>
      <c r="BL738" s="66">
        <v>84956.332079719999</v>
      </c>
    </row>
    <row r="739" spans="1:64" x14ac:dyDescent="0.25">
      <c r="A739" s="141">
        <f t="shared" si="503"/>
        <v>720</v>
      </c>
      <c r="B739" s="142">
        <f t="shared" si="504"/>
        <v>262</v>
      </c>
      <c r="C739" s="62" t="s">
        <v>46</v>
      </c>
      <c r="D739" s="62" t="s">
        <v>281</v>
      </c>
      <c r="E739" s="123">
        <v>1968</v>
      </c>
      <c r="F739" s="123">
        <v>2013</v>
      </c>
      <c r="G739" s="123" t="s">
        <v>43</v>
      </c>
      <c r="H739" s="123">
        <v>4</v>
      </c>
      <c r="I739" s="123">
        <v>2</v>
      </c>
      <c r="J739" s="64">
        <v>1377</v>
      </c>
      <c r="K739" s="64">
        <v>1273</v>
      </c>
      <c r="L739" s="64">
        <v>0</v>
      </c>
      <c r="M739" s="124">
        <v>50</v>
      </c>
      <c r="N739" s="63">
        <f t="shared" si="502"/>
        <v>13218017.302283995</v>
      </c>
      <c r="O739" s="64"/>
      <c r="P739" s="65">
        <v>1051075.2086485</v>
      </c>
      <c r="Q739" s="65"/>
      <c r="R739" s="65">
        <f t="shared" si="511"/>
        <v>136338.29999999999</v>
      </c>
      <c r="S739" s="65">
        <f t="shared" si="511"/>
        <v>4811940</v>
      </c>
      <c r="T739" s="65">
        <f>+'Приложение №2'!E748-'Приложение №1'!P739-'Приложение №1'!R739-'Приложение №1'!S739</f>
        <v>7218663.793635495</v>
      </c>
      <c r="U739" s="65">
        <f t="shared" si="462"/>
        <v>10383.360017505101</v>
      </c>
      <c r="V739" s="65">
        <v>1401.2830200640001</v>
      </c>
      <c r="W739" s="126">
        <v>2024</v>
      </c>
      <c r="X739" s="127" t="e">
        <f>+#REF!-'[1]Приложение №1'!$P1854</f>
        <v>#REF!</v>
      </c>
      <c r="Z739" s="63">
        <f t="shared" si="498"/>
        <v>16166826.229999997</v>
      </c>
      <c r="AA739" s="64">
        <v>3641709.0809080796</v>
      </c>
      <c r="AB739" s="64">
        <v>1335424.4489922002</v>
      </c>
      <c r="AC739" s="64">
        <v>1395205.1725445401</v>
      </c>
      <c r="AD739" s="64">
        <v>873503.12617344002</v>
      </c>
      <c r="AE739" s="64">
        <v>0</v>
      </c>
      <c r="AF739" s="64"/>
      <c r="AG739" s="64">
        <v>120223.04998956002</v>
      </c>
      <c r="AH739" s="64">
        <v>0</v>
      </c>
      <c r="AI739" s="64">
        <v>6851229.2787581999</v>
      </c>
      <c r="AJ739" s="64">
        <v>0</v>
      </c>
      <c r="AK739" s="64">
        <v>0</v>
      </c>
      <c r="AL739" s="64">
        <v>0</v>
      </c>
      <c r="AM739" s="64">
        <v>1476960.3820000002</v>
      </c>
      <c r="AN739" s="65">
        <v>161668.2623</v>
      </c>
      <c r="AO739" s="66">
        <v>310903.42833397997</v>
      </c>
      <c r="AP739" s="128">
        <f>+N739-'Приложение №2'!E748</f>
        <v>0</v>
      </c>
      <c r="AQ739" s="127">
        <f>705454.35</f>
        <v>705454.35</v>
      </c>
      <c r="AR739" s="25">
        <f t="shared" si="501"/>
        <v>136338.29999999999</v>
      </c>
      <c r="AS739" s="25">
        <f>+(K739*10.5+L739*21)*12*30</f>
        <v>4811940</v>
      </c>
      <c r="AT739" s="127">
        <f t="shared" si="465"/>
        <v>0</v>
      </c>
      <c r="AU739" s="127">
        <f>+P739-'[6]Приложение №1'!$P681</f>
        <v>0</v>
      </c>
      <c r="AV739" s="127">
        <f>+Q739-'[6]Приложение №1'!$Q681</f>
        <v>0</v>
      </c>
      <c r="AW739" s="88">
        <f t="shared" si="481"/>
        <v>13218017.302283997</v>
      </c>
      <c r="AX739" s="64">
        <v>3950676.9662219998</v>
      </c>
      <c r="AY739" s="64"/>
      <c r="AZ739" s="64">
        <v>1538875.675722</v>
      </c>
      <c r="BA739" s="64"/>
      <c r="BB739" s="64">
        <v>0</v>
      </c>
      <c r="BC739" s="64"/>
      <c r="BD739" s="64">
        <v>120223.04998956002</v>
      </c>
      <c r="BE739" s="64">
        <v>0</v>
      </c>
      <c r="BF739" s="64">
        <v>7521830.6773679992</v>
      </c>
      <c r="BG739" s="64">
        <v>0</v>
      </c>
      <c r="BH739" s="64">
        <v>0</v>
      </c>
      <c r="BI739" s="64">
        <v>0</v>
      </c>
      <c r="BJ739" s="64"/>
      <c r="BK739" s="65"/>
      <c r="BL739" s="66">
        <v>86410.93298243999</v>
      </c>
    </row>
    <row r="740" spans="1:64" x14ac:dyDescent="0.25">
      <c r="A740" s="141">
        <f t="shared" si="503"/>
        <v>721</v>
      </c>
      <c r="B740" s="142">
        <f t="shared" si="504"/>
        <v>263</v>
      </c>
      <c r="C740" s="62" t="s">
        <v>46</v>
      </c>
      <c r="D740" s="62" t="s">
        <v>845</v>
      </c>
      <c r="E740" s="123">
        <v>1971</v>
      </c>
      <c r="F740" s="123">
        <v>2015</v>
      </c>
      <c r="G740" s="123" t="s">
        <v>43</v>
      </c>
      <c r="H740" s="123">
        <v>4</v>
      </c>
      <c r="I740" s="123">
        <v>3</v>
      </c>
      <c r="J740" s="64">
        <v>2198.9</v>
      </c>
      <c r="K740" s="64">
        <v>1976.38</v>
      </c>
      <c r="L740" s="64">
        <v>127.2</v>
      </c>
      <c r="M740" s="124">
        <v>98</v>
      </c>
      <c r="N740" s="95">
        <f>+P740+Q740+R740+S740+T740</f>
        <v>6443087.9000000004</v>
      </c>
      <c r="O740" s="64"/>
      <c r="P740" s="65"/>
      <c r="Q740" s="65"/>
      <c r="R740" s="65">
        <f>+AQ740+AR740</f>
        <v>1009148.89</v>
      </c>
      <c r="S740" s="65">
        <f>+'Приложение №2'!E749-'Приложение №1'!R740</f>
        <v>5433939.0100000007</v>
      </c>
      <c r="T740" s="65">
        <v>0</v>
      </c>
      <c r="U740" s="64">
        <f>$N740/($K740+$L740)</f>
        <v>3062.9155534850115</v>
      </c>
      <c r="V740" s="64">
        <f>$N740/($K740+$L740)</f>
        <v>3062.9155534850115</v>
      </c>
      <c r="W740" s="126">
        <v>2024</v>
      </c>
      <c r="X740" s="127" t="e">
        <f>+#REF!-'[1]Приложение №1'!$P1618</f>
        <v>#REF!</v>
      </c>
      <c r="Z740" s="63">
        <f>SUM(AA740:AO740)</f>
        <v>6502812.7400000002</v>
      </c>
      <c r="AA740" s="64">
        <v>5790923.8181012403</v>
      </c>
      <c r="AB740" s="64">
        <v>0</v>
      </c>
      <c r="AC740" s="64">
        <v>0</v>
      </c>
      <c r="AD740" s="64">
        <v>0</v>
      </c>
      <c r="AE740" s="64">
        <v>0</v>
      </c>
      <c r="AF740" s="64"/>
      <c r="AG740" s="64">
        <v>0</v>
      </c>
      <c r="AH740" s="64">
        <v>0</v>
      </c>
      <c r="AI740" s="64">
        <v>0</v>
      </c>
      <c r="AJ740" s="64">
        <v>0</v>
      </c>
      <c r="AK740" s="64">
        <v>0</v>
      </c>
      <c r="AL740" s="64">
        <v>0</v>
      </c>
      <c r="AM740" s="64">
        <v>520225.01920000004</v>
      </c>
      <c r="AN740" s="65">
        <v>65028.127400000005</v>
      </c>
      <c r="AO740" s="66">
        <v>126635.77529876001</v>
      </c>
      <c r="AP740" s="128">
        <f>+N740-'Приложение №2'!E749</f>
        <v>0</v>
      </c>
      <c r="AQ740" s="23">
        <v>781609.33</v>
      </c>
      <c r="AR740" s="25">
        <f>+(K740*10+L740*20)*12*0.85</f>
        <v>227539.56000000003</v>
      </c>
      <c r="AS740" s="25">
        <f>+(K740*10+L740*20)*12*30</f>
        <v>8030808.0000000009</v>
      </c>
      <c r="AT740" s="127">
        <f>+S740-AS740</f>
        <v>-2596868.9900000002</v>
      </c>
      <c r="AU740" s="127">
        <f>+P740-'[6]Приложение №1'!$P396</f>
        <v>0</v>
      </c>
      <c r="AV740" s="127">
        <f>+Q740-'[6]Приложение №1'!$Q396</f>
        <v>0</v>
      </c>
      <c r="AW740" s="63">
        <f>SUBTOTAL(9,AX740:BL740)</f>
        <v>6443087.9000000004</v>
      </c>
      <c r="AX740" s="64">
        <v>6305205.8189400006</v>
      </c>
      <c r="AY740" s="64">
        <v>0</v>
      </c>
      <c r="AZ740" s="64">
        <v>0</v>
      </c>
      <c r="BA740" s="64">
        <v>0</v>
      </c>
      <c r="BB740" s="64">
        <v>0</v>
      </c>
      <c r="BC740" s="64"/>
      <c r="BD740" s="64"/>
      <c r="BE740" s="64">
        <v>0</v>
      </c>
      <c r="BF740" s="64">
        <v>0</v>
      </c>
      <c r="BG740" s="64">
        <v>0</v>
      </c>
      <c r="BH740" s="64">
        <v>0</v>
      </c>
      <c r="BI740" s="64">
        <v>0</v>
      </c>
      <c r="BJ740" s="64"/>
      <c r="BK740" s="65"/>
      <c r="BL740" s="66">
        <v>137882.08106000003</v>
      </c>
    </row>
    <row r="741" spans="1:64" x14ac:dyDescent="0.25">
      <c r="A741" s="141">
        <f t="shared" si="503"/>
        <v>722</v>
      </c>
      <c r="B741" s="142">
        <f t="shared" si="504"/>
        <v>264</v>
      </c>
      <c r="C741" s="62" t="s">
        <v>46</v>
      </c>
      <c r="D741" s="62" t="s">
        <v>280</v>
      </c>
      <c r="E741" s="123">
        <v>1968</v>
      </c>
      <c r="F741" s="123">
        <v>2013</v>
      </c>
      <c r="G741" s="123" t="s">
        <v>43</v>
      </c>
      <c r="H741" s="123">
        <v>4</v>
      </c>
      <c r="I741" s="123">
        <v>2</v>
      </c>
      <c r="J741" s="64">
        <v>1327.8</v>
      </c>
      <c r="K741" s="64">
        <v>1187.9000000000001</v>
      </c>
      <c r="L741" s="64">
        <v>88.4</v>
      </c>
      <c r="M741" s="124">
        <v>51</v>
      </c>
      <c r="N741" s="63">
        <f t="shared" si="502"/>
        <v>12543558.134602001</v>
      </c>
      <c r="O741" s="64"/>
      <c r="P741" s="65">
        <v>981537.54032600031</v>
      </c>
      <c r="Q741" s="65"/>
      <c r="R741" s="65">
        <f t="shared" si="511"/>
        <v>146159.37</v>
      </c>
      <c r="S741" s="65">
        <f t="shared" si="511"/>
        <v>5158566</v>
      </c>
      <c r="T741" s="65">
        <f>+'Приложение №2'!E750-'Приложение №1'!P741-'Приложение №1'!R741-'Приложение №1'!S741</f>
        <v>6257295.2242760006</v>
      </c>
      <c r="U741" s="65">
        <f t="shared" si="462"/>
        <v>10559.439460057243</v>
      </c>
      <c r="V741" s="65">
        <v>1402.2830200640001</v>
      </c>
      <c r="W741" s="126">
        <v>2024</v>
      </c>
      <c r="X741" s="127" t="e">
        <f>+#REF!-'[1]Приложение №1'!$P1855</f>
        <v>#REF!</v>
      </c>
      <c r="Z741" s="63">
        <f t="shared" si="498"/>
        <v>15295757.840000004</v>
      </c>
      <c r="AA741" s="64">
        <v>3445493.8413932403</v>
      </c>
      <c r="AB741" s="64">
        <v>1263471.7949082602</v>
      </c>
      <c r="AC741" s="64">
        <v>1320031.53024918</v>
      </c>
      <c r="AD741" s="64">
        <v>826438.78871232003</v>
      </c>
      <c r="AE741" s="64">
        <v>0</v>
      </c>
      <c r="AF741" s="64"/>
      <c r="AG741" s="64">
        <v>113745.43921776001</v>
      </c>
      <c r="AH741" s="64">
        <v>0</v>
      </c>
      <c r="AI741" s="64">
        <v>6482085.1365060005</v>
      </c>
      <c r="AJ741" s="64">
        <v>0</v>
      </c>
      <c r="AK741" s="64">
        <v>0</v>
      </c>
      <c r="AL741" s="64">
        <v>0</v>
      </c>
      <c r="AM741" s="64">
        <v>1397381.7750000001</v>
      </c>
      <c r="AN741" s="65">
        <v>152957.5784</v>
      </c>
      <c r="AO741" s="66">
        <v>294151.95561324002</v>
      </c>
      <c r="AP741" s="128">
        <f>+N741-'Приложение №2'!E750</f>
        <v>0</v>
      </c>
      <c r="AQ741" s="127">
        <f>611049.15</f>
        <v>611049.15</v>
      </c>
      <c r="AR741" s="25">
        <f t="shared" si="501"/>
        <v>146159.37</v>
      </c>
      <c r="AS741" s="25">
        <f>+(K741*10.5+L741*21)*12*30</f>
        <v>5158566</v>
      </c>
      <c r="AT741" s="127">
        <f t="shared" si="465"/>
        <v>0</v>
      </c>
      <c r="AU741" s="127">
        <f>+P741-'[6]Приложение №1'!$P682</f>
        <v>0</v>
      </c>
      <c r="AV741" s="127">
        <f>+Q741-'[6]Приложение №1'!$Q682</f>
        <v>0</v>
      </c>
      <c r="AW741" s="88">
        <f t="shared" si="481"/>
        <v>12543558.134602001</v>
      </c>
      <c r="AX741" s="64">
        <v>3735025.2035040008</v>
      </c>
      <c r="AY741" s="64"/>
      <c r="AZ741" s="64">
        <v>1454526.423042</v>
      </c>
      <c r="BA741" s="64"/>
      <c r="BB741" s="64">
        <v>0</v>
      </c>
      <c r="BC741" s="64"/>
      <c r="BD741" s="64">
        <v>113745.43921776001</v>
      </c>
      <c r="BE741" s="64">
        <v>0</v>
      </c>
      <c r="BF741" s="64">
        <v>7157698.5886560008</v>
      </c>
      <c r="BG741" s="64">
        <v>0</v>
      </c>
      <c r="BH741" s="64">
        <v>0</v>
      </c>
      <c r="BI741" s="64">
        <v>0</v>
      </c>
      <c r="BJ741" s="64"/>
      <c r="BK741" s="65"/>
      <c r="BL741" s="66">
        <v>82562.480182240004</v>
      </c>
    </row>
    <row r="742" spans="1:64" x14ac:dyDescent="0.25">
      <c r="A742" s="141">
        <f t="shared" si="503"/>
        <v>723</v>
      </c>
      <c r="B742" s="142">
        <f t="shared" si="504"/>
        <v>265</v>
      </c>
      <c r="C742" s="62" t="s">
        <v>46</v>
      </c>
      <c r="D742" s="62" t="s">
        <v>1102</v>
      </c>
      <c r="E742" s="123">
        <v>1988</v>
      </c>
      <c r="F742" s="123"/>
      <c r="G742" s="123" t="s">
        <v>43</v>
      </c>
      <c r="H742" s="123">
        <v>9</v>
      </c>
      <c r="I742" s="123">
        <v>1</v>
      </c>
      <c r="J742" s="64">
        <v>2265.4</v>
      </c>
      <c r="K742" s="64">
        <v>2006.2</v>
      </c>
      <c r="L742" s="64">
        <v>53.4</v>
      </c>
      <c r="M742" s="124">
        <v>74</v>
      </c>
      <c r="N742" s="95">
        <f t="shared" ref="N742" si="512">+P742+Q742+R742+S742+T742</f>
        <v>6596393.3232227433</v>
      </c>
      <c r="O742" s="64"/>
      <c r="P742" s="65"/>
      <c r="Q742" s="65"/>
      <c r="R742" s="65">
        <f t="shared" ref="R742" si="513">+AQ742+AR742</f>
        <v>1596701.06</v>
      </c>
      <c r="S742" s="146">
        <v>4999692.2632227428</v>
      </c>
      <c r="T742" s="65"/>
      <c r="U742" s="64">
        <f t="shared" ref="U742:V742" si="514">$N742/($K742+$L742)</f>
        <v>3202.7545752683741</v>
      </c>
      <c r="V742" s="64">
        <f t="shared" si="514"/>
        <v>3202.7545752683741</v>
      </c>
      <c r="W742" s="126">
        <v>2024</v>
      </c>
      <c r="X742" s="127"/>
      <c r="Z742" s="63"/>
      <c r="AA742" s="64"/>
      <c r="AB742" s="64"/>
      <c r="AC742" s="64"/>
      <c r="AD742" s="64"/>
      <c r="AE742" s="64"/>
      <c r="AF742" s="64"/>
      <c r="AG742" s="64"/>
      <c r="AH742" s="64"/>
      <c r="AI742" s="64"/>
      <c r="AJ742" s="64"/>
      <c r="AK742" s="64"/>
      <c r="AL742" s="64"/>
      <c r="AM742" s="64"/>
      <c r="AN742" s="65"/>
      <c r="AO742" s="66"/>
      <c r="AP742" s="128">
        <f>+N742-'Приложение №2'!E751</f>
        <v>0</v>
      </c>
      <c r="AQ742" s="67">
        <v>1381175.06</v>
      </c>
      <c r="AR742" s="25">
        <f t="shared" ref="AR742" si="515">+(K742*10+L742*20)*12*0.85</f>
        <v>215526</v>
      </c>
      <c r="AS742" s="25">
        <f>+(K742*13.29+L742*22.52)*12*30</f>
        <v>10031387.759999998</v>
      </c>
      <c r="AT742" s="127">
        <f t="shared" si="465"/>
        <v>-5031695.4967772551</v>
      </c>
      <c r="AU742" s="127"/>
      <c r="AV742" s="127"/>
      <c r="AW742" s="63">
        <f t="shared" si="481"/>
        <v>6596393.3232227433</v>
      </c>
      <c r="AX742" s="64"/>
      <c r="AY742" s="64"/>
      <c r="AZ742" s="64"/>
      <c r="BA742" s="64"/>
      <c r="BB742" s="64"/>
      <c r="BC742" s="64"/>
      <c r="BD742" s="64"/>
      <c r="BE742" s="64"/>
      <c r="BF742" s="64"/>
      <c r="BG742" s="64"/>
      <c r="BH742" s="64"/>
      <c r="BI742" s="64">
        <v>6308293.3064477872</v>
      </c>
      <c r="BJ742" s="64"/>
      <c r="BK742" s="65"/>
      <c r="BL742" s="66">
        <v>288100.0167749562</v>
      </c>
    </row>
    <row r="743" spans="1:64" x14ac:dyDescent="0.25">
      <c r="A743" s="141">
        <f t="shared" si="503"/>
        <v>724</v>
      </c>
      <c r="B743" s="142">
        <f t="shared" si="504"/>
        <v>266</v>
      </c>
      <c r="C743" s="62" t="s">
        <v>46</v>
      </c>
      <c r="D743" s="62" t="s">
        <v>1153</v>
      </c>
      <c r="E743" s="123">
        <v>1985</v>
      </c>
      <c r="F743" s="123">
        <v>2015</v>
      </c>
      <c r="G743" s="123" t="s">
        <v>43</v>
      </c>
      <c r="H743" s="123">
        <v>9</v>
      </c>
      <c r="I743" s="123">
        <v>1</v>
      </c>
      <c r="J743" s="64">
        <v>2289.1999999999998</v>
      </c>
      <c r="K743" s="64">
        <v>1890</v>
      </c>
      <c r="L743" s="64">
        <v>116.7</v>
      </c>
      <c r="M743" s="124">
        <v>81</v>
      </c>
      <c r="N743" s="95">
        <f>+P743+Q743+R743+S743+T743</f>
        <v>21345856.605785996</v>
      </c>
      <c r="O743" s="64"/>
      <c r="P743" s="65">
        <v>3171737.6699953303</v>
      </c>
      <c r="Q743" s="65"/>
      <c r="R743" s="65">
        <f>+AQ743+AR743</f>
        <v>1581149.0367999999</v>
      </c>
      <c r="S743" s="65">
        <f>+AS743</f>
        <v>9988626.2400000002</v>
      </c>
      <c r="T743" s="65">
        <f>+'Приложение №2'!E752-'Приложение №1'!P743-'Приложение №1'!Q743-'Приложение №1'!R743-'Приложение №1'!S743</f>
        <v>6604343.6589906644</v>
      </c>
      <c r="U743" s="64">
        <f>$N743/($K743+$L743)</f>
        <v>10637.293370103152</v>
      </c>
      <c r="V743" s="64">
        <f>$N743/($K743+$L743)</f>
        <v>10637.293370103152</v>
      </c>
      <c r="W743" s="126">
        <v>2024</v>
      </c>
      <c r="X743" s="127" t="e">
        <f>+#REF!-'[1]Приложение №1'!$P1196</f>
        <v>#REF!</v>
      </c>
      <c r="Z743" s="63">
        <f>SUM(AA743:AO743)</f>
        <v>21892071.77</v>
      </c>
      <c r="AA743" s="64">
        <v>4636918.0685864408</v>
      </c>
      <c r="AB743" s="64">
        <v>3182339.9673420601</v>
      </c>
      <c r="AC743" s="64">
        <v>1937147.8769193597</v>
      </c>
      <c r="AD743" s="64">
        <v>1747763.85706608</v>
      </c>
      <c r="AE743" s="64">
        <v>0</v>
      </c>
      <c r="AF743" s="64"/>
      <c r="AG743" s="64">
        <v>223072.98168960001</v>
      </c>
      <c r="AH743" s="64">
        <v>0</v>
      </c>
      <c r="AI743" s="64">
        <v>2262004.7709924001</v>
      </c>
      <c r="AJ743" s="64">
        <v>0</v>
      </c>
      <c r="AK743" s="64">
        <v>0</v>
      </c>
      <c r="AL743" s="64">
        <v>5164301.4149336405</v>
      </c>
      <c r="AM743" s="64">
        <v>2100752.7919999999</v>
      </c>
      <c r="AN743" s="65">
        <v>218920.71770000001</v>
      </c>
      <c r="AO743" s="66">
        <v>418849.32277042</v>
      </c>
      <c r="AP743" s="128">
        <f>+N743-'Приложение №2'!E752</f>
        <v>0</v>
      </c>
      <c r="AQ743" s="23">
        <v>1298137.96</v>
      </c>
      <c r="AR743" s="25">
        <f>+(K743*13.29+L743*22.52)*12*0.85</f>
        <v>283011.07679999998</v>
      </c>
      <c r="AS743" s="25">
        <f>+(K743*13.29+L743*22.52)*12*30</f>
        <v>9988626.2400000002</v>
      </c>
      <c r="AT743" s="127">
        <f>+S743-AS743</f>
        <v>0</v>
      </c>
      <c r="AU743" s="127">
        <f>+P743-'[6]Приложение №1'!$P398</f>
        <v>-271487.81000000285</v>
      </c>
      <c r="AV743" s="127">
        <f>+Q743-'[6]Приложение №1'!$Q398</f>
        <v>0</v>
      </c>
      <c r="AW743" s="63">
        <f>SUBTOTAL(9,AX743:BL743)</f>
        <v>21345856.605785996</v>
      </c>
      <c r="AX743" s="64">
        <v>5008921.6874759998</v>
      </c>
      <c r="AY743" s="64">
        <v>3483953.1116460003</v>
      </c>
      <c r="AZ743" s="64">
        <v>2121517.0782959997</v>
      </c>
      <c r="BA743" s="64">
        <v>1954219.3801199999</v>
      </c>
      <c r="BB743" s="64">
        <v>0</v>
      </c>
      <c r="BC743" s="64"/>
      <c r="BD743" s="64">
        <v>223072.98168960001</v>
      </c>
      <c r="BE743" s="64">
        <v>0</v>
      </c>
      <c r="BF743" s="64">
        <v>2447118.710064</v>
      </c>
      <c r="BG743" s="64">
        <v>0</v>
      </c>
      <c r="BH743" s="64">
        <v>0</v>
      </c>
      <c r="BI743" s="64">
        <v>5650252.325339999</v>
      </c>
      <c r="BJ743" s="64"/>
      <c r="BK743" s="65"/>
      <c r="BL743" s="66">
        <v>456801.33115439996</v>
      </c>
    </row>
    <row r="744" spans="1:64" x14ac:dyDescent="0.25">
      <c r="A744" s="141">
        <f t="shared" si="503"/>
        <v>725</v>
      </c>
      <c r="B744" s="142">
        <f t="shared" si="504"/>
        <v>267</v>
      </c>
      <c r="C744" s="62" t="s">
        <v>46</v>
      </c>
      <c r="D744" s="62" t="s">
        <v>846</v>
      </c>
      <c r="E744" s="123">
        <v>1976</v>
      </c>
      <c r="F744" s="123">
        <v>2013</v>
      </c>
      <c r="G744" s="123" t="s">
        <v>43</v>
      </c>
      <c r="H744" s="123">
        <v>4</v>
      </c>
      <c r="I744" s="123">
        <v>6</v>
      </c>
      <c r="J744" s="64">
        <v>4690.7</v>
      </c>
      <c r="K744" s="64">
        <v>4312.1000000000004</v>
      </c>
      <c r="L744" s="64">
        <v>202.5</v>
      </c>
      <c r="M744" s="124">
        <v>191</v>
      </c>
      <c r="N744" s="95">
        <f>+P744+Q744+R744+S744+T744</f>
        <v>12608792.0231</v>
      </c>
      <c r="O744" s="64"/>
      <c r="P744" s="65"/>
      <c r="Q744" s="65"/>
      <c r="R744" s="65">
        <f>+AQ744+AR744</f>
        <v>2366806.17</v>
      </c>
      <c r="S744" s="65">
        <f>+'Приложение №2'!E753-'Приложение №1'!R744</f>
        <v>10241985.8531</v>
      </c>
      <c r="T744" s="65">
        <v>0</v>
      </c>
      <c r="U744" s="64">
        <f>$N744/($K744+$L744)</f>
        <v>2792.8923986842688</v>
      </c>
      <c r="V744" s="64">
        <f>$N744/($K744+$L744)</f>
        <v>2792.8923986842688</v>
      </c>
      <c r="W744" s="126">
        <v>2024</v>
      </c>
      <c r="X744" s="127" t="e">
        <f>+#REF!-'[1]Приложение №1'!$P502</f>
        <v>#REF!</v>
      </c>
      <c r="Z744" s="63">
        <f>SUM(AA744:AO744)</f>
        <v>46137074.220000006</v>
      </c>
      <c r="AA744" s="64">
        <v>12338963.873805661</v>
      </c>
      <c r="AB744" s="64">
        <v>0</v>
      </c>
      <c r="AC744" s="64">
        <v>0</v>
      </c>
      <c r="AD744" s="64">
        <v>2959633.3144828794</v>
      </c>
      <c r="AE744" s="64">
        <v>0</v>
      </c>
      <c r="AF744" s="64"/>
      <c r="AG744" s="64">
        <v>0</v>
      </c>
      <c r="AH744" s="64">
        <v>0</v>
      </c>
      <c r="AI744" s="64">
        <v>0</v>
      </c>
      <c r="AJ744" s="64">
        <v>0</v>
      </c>
      <c r="AK744" s="64">
        <v>12052636.301892061</v>
      </c>
      <c r="AL744" s="64">
        <v>12999978.84663156</v>
      </c>
      <c r="AM744" s="64">
        <v>4442091.8521999996</v>
      </c>
      <c r="AN744" s="65">
        <v>461370.74219999998</v>
      </c>
      <c r="AO744" s="66">
        <v>882399.28878784005</v>
      </c>
      <c r="AP744" s="128">
        <f>+N744-'Приложение №2'!E753</f>
        <v>0</v>
      </c>
      <c r="AQ744" s="23">
        <v>1885661.97</v>
      </c>
      <c r="AR744" s="25">
        <f>+(K744*10+L744*20)*12*0.85</f>
        <v>481144.2</v>
      </c>
      <c r="AS744" s="25">
        <f>+(K744*10+L744*20)*12*30</f>
        <v>16981560</v>
      </c>
      <c r="AT744" s="127">
        <f>+S744-AS744</f>
        <v>-6739574.1469000001</v>
      </c>
      <c r="AU744" s="127">
        <f>+P744-'[6]Приложение №1'!$P399</f>
        <v>0</v>
      </c>
      <c r="AV744" s="127">
        <f>+Q744-'[6]Приложение №1'!$Q399</f>
        <v>0</v>
      </c>
      <c r="AW744" s="63">
        <f>SUBTOTAL(9,AX744:BL744)</f>
        <v>12608792.0231</v>
      </c>
      <c r="AX744" s="64">
        <v>12338963.873805661</v>
      </c>
      <c r="AY744" s="64">
        <v>0</v>
      </c>
      <c r="AZ744" s="64">
        <v>0</v>
      </c>
      <c r="BA744" s="64"/>
      <c r="BB744" s="64">
        <v>0</v>
      </c>
      <c r="BC744" s="64"/>
      <c r="BD744" s="64"/>
      <c r="BE744" s="64">
        <v>0</v>
      </c>
      <c r="BF744" s="64">
        <v>0</v>
      </c>
      <c r="BG744" s="64">
        <v>0</v>
      </c>
      <c r="BH744" s="64"/>
      <c r="BI744" s="64"/>
      <c r="BJ744" s="64"/>
      <c r="BK744" s="65"/>
      <c r="BL744" s="66">
        <v>269828.14929433999</v>
      </c>
    </row>
    <row r="745" spans="1:64" x14ac:dyDescent="0.25">
      <c r="A745" s="141">
        <f t="shared" si="503"/>
        <v>726</v>
      </c>
      <c r="B745" s="142">
        <f t="shared" si="504"/>
        <v>268</v>
      </c>
      <c r="C745" s="62" t="s">
        <v>46</v>
      </c>
      <c r="D745" s="62" t="s">
        <v>855</v>
      </c>
      <c r="E745" s="123">
        <v>1992</v>
      </c>
      <c r="F745" s="123">
        <v>2016</v>
      </c>
      <c r="G745" s="123" t="s">
        <v>43</v>
      </c>
      <c r="H745" s="123">
        <v>9</v>
      </c>
      <c r="I745" s="123">
        <v>3</v>
      </c>
      <c r="J745" s="64">
        <v>6894.8</v>
      </c>
      <c r="K745" s="64">
        <v>6109.5</v>
      </c>
      <c r="L745" s="64">
        <v>0</v>
      </c>
      <c r="M745" s="124">
        <v>249</v>
      </c>
      <c r="N745" s="63">
        <f t="shared" si="502"/>
        <v>53321500.852102235</v>
      </c>
      <c r="O745" s="64"/>
      <c r="P745" s="65">
        <v>504658.56467999984</v>
      </c>
      <c r="Q745" s="65"/>
      <c r="R745" s="65">
        <f t="shared" ref="R745:R755" si="516">+AQ745+AR745</f>
        <v>5081930.5249999994</v>
      </c>
      <c r="S745" s="65">
        <f>+AS745</f>
        <v>30681908.999999996</v>
      </c>
      <c r="T745" s="65">
        <f>+'Приложение №2'!E754-'Приложение №1'!P745-'Приложение №1'!R745-'Приложение №1'!S745</f>
        <v>17053002.762422245</v>
      </c>
      <c r="U745" s="65">
        <f t="shared" si="462"/>
        <v>8727.6374256653144</v>
      </c>
      <c r="V745" s="65">
        <v>1404.2830200640001</v>
      </c>
      <c r="W745" s="126">
        <v>2024</v>
      </c>
      <c r="X745" s="127" t="e">
        <f>+#REF!-'[1]Приложение №1'!$P828</f>
        <v>#REF!</v>
      </c>
      <c r="Z745" s="63">
        <f t="shared" si="498"/>
        <v>57606078.690000005</v>
      </c>
      <c r="AA745" s="64">
        <v>13823112.483911639</v>
      </c>
      <c r="AB745" s="64">
        <v>9486870.9391226396</v>
      </c>
      <c r="AC745" s="64">
        <v>5774829.8742573597</v>
      </c>
      <c r="AD745" s="64">
        <v>5210257.3459977591</v>
      </c>
      <c r="AE745" s="64">
        <v>0</v>
      </c>
      <c r="AF745" s="64"/>
      <c r="AG745" s="64">
        <v>665002.67436960002</v>
      </c>
      <c r="AH745" s="64">
        <v>0</v>
      </c>
      <c r="AI745" s="64">
        <v>0</v>
      </c>
      <c r="AJ745" s="64">
        <v>0</v>
      </c>
      <c r="AK745" s="64">
        <v>0</v>
      </c>
      <c r="AL745" s="64">
        <v>15395294.52263166</v>
      </c>
      <c r="AM745" s="64">
        <v>5573480.1550000012</v>
      </c>
      <c r="AN745" s="65">
        <v>576060.78690000006</v>
      </c>
      <c r="AO745" s="66">
        <v>1101169.9078093402</v>
      </c>
      <c r="AP745" s="128">
        <f>+N745-'Приложение №2'!E754</f>
        <v>0</v>
      </c>
      <c r="AQ745" s="38">
        <v>4212609.7699999996</v>
      </c>
      <c r="AR745" s="25">
        <f t="shared" ref="AR745:AR753" si="517">+(K745*13.95+L745*23.65)*12*0.85</f>
        <v>869320.75499999989</v>
      </c>
      <c r="AS745" s="25">
        <f>+(K745*13.95+L745*23.65)*12*30</f>
        <v>30681908.999999996</v>
      </c>
      <c r="AT745" s="127">
        <f t="shared" si="465"/>
        <v>0</v>
      </c>
      <c r="AU745" s="127">
        <f>+P745-'[6]Приложение №1'!$P684</f>
        <v>-4454580.0000000019</v>
      </c>
      <c r="AV745" s="127">
        <f>+Q745-'[6]Приложение №1'!$Q684</f>
        <v>0</v>
      </c>
      <c r="AW745" s="88">
        <f t="shared" si="481"/>
        <v>53321500.852102242</v>
      </c>
      <c r="AX745" s="64">
        <v>13823112.483911639</v>
      </c>
      <c r="AY745" s="64">
        <v>9486870.9391226396</v>
      </c>
      <c r="AZ745" s="64">
        <v>5774829.8742573597</v>
      </c>
      <c r="BA745" s="64">
        <v>7075220.4500000002</v>
      </c>
      <c r="BB745" s="64">
        <v>0</v>
      </c>
      <c r="BC745" s="64"/>
      <c r="BD745" s="64">
        <v>665002.67436960002</v>
      </c>
      <c r="BE745" s="64">
        <v>0</v>
      </c>
      <c r="BF745" s="64">
        <v>0</v>
      </c>
      <c r="BG745" s="64">
        <v>0</v>
      </c>
      <c r="BH745" s="64">
        <v>0</v>
      </c>
      <c r="BI745" s="64">
        <v>15395294.52263166</v>
      </c>
      <c r="BJ745" s="64"/>
      <c r="BK745" s="65"/>
      <c r="BL745" s="66">
        <v>1101169.9078093402</v>
      </c>
    </row>
    <row r="746" spans="1:64" x14ac:dyDescent="0.25">
      <c r="A746" s="141">
        <f t="shared" si="503"/>
        <v>727</v>
      </c>
      <c r="B746" s="142">
        <f t="shared" si="504"/>
        <v>269</v>
      </c>
      <c r="C746" s="62" t="s">
        <v>46</v>
      </c>
      <c r="D746" s="62" t="s">
        <v>848</v>
      </c>
      <c r="E746" s="123">
        <v>1989</v>
      </c>
      <c r="F746" s="123">
        <v>2015</v>
      </c>
      <c r="G746" s="123" t="s">
        <v>43</v>
      </c>
      <c r="H746" s="123">
        <v>9</v>
      </c>
      <c r="I746" s="123">
        <v>1</v>
      </c>
      <c r="J746" s="64">
        <v>2263.8000000000002</v>
      </c>
      <c r="K746" s="64">
        <v>1890.48</v>
      </c>
      <c r="L746" s="64">
        <v>120.7</v>
      </c>
      <c r="M746" s="124">
        <v>89</v>
      </c>
      <c r="N746" s="95">
        <f>+P746+Q746+R746+S746+T746</f>
        <v>5340335.5010032002</v>
      </c>
      <c r="O746" s="64"/>
      <c r="P746" s="65"/>
      <c r="Q746" s="65"/>
      <c r="R746" s="65">
        <f>+AQ746+AR746</f>
        <v>1315469.3506400001</v>
      </c>
      <c r="S746" s="65">
        <f>+'Приложение №2'!E755-'Приложение №1'!R746</f>
        <v>4024866.1503632003</v>
      </c>
      <c r="T746" s="65">
        <v>0</v>
      </c>
      <c r="U746" s="64">
        <f>$N746/($K746+$L746)</f>
        <v>2655.3244866213863</v>
      </c>
      <c r="V746" s="64">
        <f>$N746/($K746+$L746)</f>
        <v>2655.3244866213863</v>
      </c>
      <c r="W746" s="126">
        <v>2024</v>
      </c>
      <c r="X746" s="127" t="e">
        <f>+#REF!-'[1]Приложение №1'!$P1448</f>
        <v>#REF!</v>
      </c>
      <c r="Z746" s="63">
        <f>SUM(AA746:AO746)</f>
        <v>9119250.5200000014</v>
      </c>
      <c r="AA746" s="64">
        <v>4650099.0199755002</v>
      </c>
      <c r="AB746" s="64">
        <v>3191386.1136439806</v>
      </c>
      <c r="AC746" s="64">
        <v>0</v>
      </c>
      <c r="AD746" s="64">
        <v>0</v>
      </c>
      <c r="AE746" s="64">
        <v>0</v>
      </c>
      <c r="AF746" s="64"/>
      <c r="AG746" s="64">
        <v>223707.09100319998</v>
      </c>
      <c r="AH746" s="64">
        <v>0</v>
      </c>
      <c r="AI746" s="64">
        <v>0</v>
      </c>
      <c r="AJ746" s="64">
        <v>0</v>
      </c>
      <c r="AK746" s="64">
        <v>0</v>
      </c>
      <c r="AL746" s="64">
        <v>0</v>
      </c>
      <c r="AM746" s="64">
        <v>786496.37100000004</v>
      </c>
      <c r="AN746" s="65">
        <v>91192.505200000014</v>
      </c>
      <c r="AO746" s="66">
        <v>176369.41917732003</v>
      </c>
      <c r="AP746" s="128">
        <f>+N746-'Приложение №2'!E755</f>
        <v>0</v>
      </c>
      <c r="AQ746" s="23">
        <v>1031474.39</v>
      </c>
      <c r="AR746" s="25">
        <f>+(K746*13.29+L746*22.52)*12*0.85</f>
        <v>283994.96064</v>
      </c>
      <c r="AS746" s="25">
        <f>+(K746*13.29+L746*22.52)*12*30</f>
        <v>10023351.552000001</v>
      </c>
      <c r="AT746" s="127">
        <f>+S746-AS746</f>
        <v>-5998485.4016368007</v>
      </c>
      <c r="AU746" s="127">
        <f>+P746-'[6]Приложение №1'!$P403</f>
        <v>0</v>
      </c>
      <c r="AV746" s="127">
        <f>+Q746-'[6]Приложение №1'!$Q403</f>
        <v>0</v>
      </c>
      <c r="AW746" s="63">
        <f>SUBTOTAL(9,AX746:BL746)</f>
        <v>5340335.5010032002</v>
      </c>
      <c r="AX746" s="64">
        <v>5007132.5620260006</v>
      </c>
      <c r="AY746" s="64"/>
      <c r="AZ746" s="64"/>
      <c r="BA746" s="64"/>
      <c r="BB746" s="64"/>
      <c r="BC746" s="64"/>
      <c r="BD746" s="64">
        <v>223707.09100319998</v>
      </c>
      <c r="BE746" s="64">
        <v>0</v>
      </c>
      <c r="BF746" s="64">
        <v>0</v>
      </c>
      <c r="BG746" s="64">
        <v>0</v>
      </c>
      <c r="BH746" s="64">
        <v>0</v>
      </c>
      <c r="BI746" s="64"/>
      <c r="BJ746" s="64"/>
      <c r="BK746" s="65"/>
      <c r="BL746" s="66">
        <v>109495.84797400002</v>
      </c>
    </row>
    <row r="747" spans="1:64" x14ac:dyDescent="0.25">
      <c r="A747" s="141">
        <f t="shared" si="503"/>
        <v>728</v>
      </c>
      <c r="B747" s="142">
        <f t="shared" si="504"/>
        <v>270</v>
      </c>
      <c r="C747" s="62" t="s">
        <v>46</v>
      </c>
      <c r="D747" s="62" t="s">
        <v>856</v>
      </c>
      <c r="E747" s="123">
        <v>1983</v>
      </c>
      <c r="F747" s="123">
        <v>2015</v>
      </c>
      <c r="G747" s="123" t="s">
        <v>43</v>
      </c>
      <c r="H747" s="123">
        <v>9</v>
      </c>
      <c r="I747" s="123">
        <v>1</v>
      </c>
      <c r="J747" s="64">
        <v>5368</v>
      </c>
      <c r="K747" s="64">
        <v>4278.88</v>
      </c>
      <c r="L747" s="64">
        <v>61.4</v>
      </c>
      <c r="M747" s="124">
        <v>194</v>
      </c>
      <c r="N747" s="63">
        <f t="shared" si="502"/>
        <v>4344120.7939999998</v>
      </c>
      <c r="O747" s="64"/>
      <c r="P747" s="65"/>
      <c r="Q747" s="65"/>
      <c r="R747" s="65">
        <f t="shared" si="516"/>
        <v>3693718.2872000001</v>
      </c>
      <c r="S747" s="65">
        <f>+'Приложение №2'!E756-'Приложение №1'!R747</f>
        <v>650402.50679999962</v>
      </c>
      <c r="T747" s="65">
        <v>0</v>
      </c>
      <c r="U747" s="65">
        <f t="shared" si="462"/>
        <v>1015.2471660808435</v>
      </c>
      <c r="V747" s="65">
        <v>1405.2830200640001</v>
      </c>
      <c r="W747" s="126">
        <v>2024</v>
      </c>
      <c r="X747" s="127" t="e">
        <f>+#REF!-'[1]Приложение №1'!$P832</f>
        <v>#REF!</v>
      </c>
      <c r="Z747" s="63">
        <f t="shared" si="498"/>
        <v>4881034.5999999996</v>
      </c>
      <c r="AA747" s="64">
        <v>0</v>
      </c>
      <c r="AB747" s="64">
        <v>0</v>
      </c>
      <c r="AC747" s="64">
        <v>4251156.6090083998</v>
      </c>
      <c r="AD747" s="64">
        <v>0</v>
      </c>
      <c r="AE747" s="64">
        <v>0</v>
      </c>
      <c r="AF747" s="64"/>
      <c r="AG747" s="64">
        <v>0</v>
      </c>
      <c r="AH747" s="64">
        <v>0</v>
      </c>
      <c r="AI747" s="64">
        <v>0</v>
      </c>
      <c r="AJ747" s="64">
        <v>0</v>
      </c>
      <c r="AK747" s="64">
        <v>0</v>
      </c>
      <c r="AL747" s="64">
        <v>0</v>
      </c>
      <c r="AM747" s="64">
        <v>488103.45999999996</v>
      </c>
      <c r="AN747" s="65">
        <v>48810.345999999998</v>
      </c>
      <c r="AO747" s="66">
        <v>92964.184991599992</v>
      </c>
      <c r="AP747" s="128">
        <f>+N747-'Приложение №2'!E756</f>
        <v>0</v>
      </c>
      <c r="AQ747" s="38">
        <v>3070064.93</v>
      </c>
      <c r="AR747" s="25">
        <f t="shared" si="517"/>
        <v>623653.35719999997</v>
      </c>
      <c r="AS747" s="25">
        <f>+(K747*13.95+L747*23.65)*12*30</f>
        <v>22011294.959999997</v>
      </c>
      <c r="AT747" s="127">
        <f t="shared" si="465"/>
        <v>-21360892.453199998</v>
      </c>
      <c r="AU747" s="127">
        <f>+P747-'[6]Приложение №1'!$P685</f>
        <v>0</v>
      </c>
      <c r="AV747" s="127">
        <f>+Q747-'[6]Приложение №1'!$Q685</f>
        <v>0</v>
      </c>
      <c r="AW747" s="88">
        <f t="shared" si="481"/>
        <v>4344120.7939999998</v>
      </c>
      <c r="AX747" s="64">
        <v>0</v>
      </c>
      <c r="AY747" s="64">
        <v>0</v>
      </c>
      <c r="AZ747" s="64">
        <v>4251156.6090083998</v>
      </c>
      <c r="BA747" s="64">
        <v>0</v>
      </c>
      <c r="BB747" s="64">
        <v>0</v>
      </c>
      <c r="BC747" s="64"/>
      <c r="BD747" s="64"/>
      <c r="BE747" s="64">
        <v>0</v>
      </c>
      <c r="BF747" s="64">
        <v>0</v>
      </c>
      <c r="BG747" s="64">
        <v>0</v>
      </c>
      <c r="BH747" s="64">
        <v>0</v>
      </c>
      <c r="BI747" s="64">
        <v>0</v>
      </c>
      <c r="BJ747" s="64"/>
      <c r="BK747" s="65"/>
      <c r="BL747" s="66">
        <v>92964.184991599992</v>
      </c>
    </row>
    <row r="748" spans="1:64" x14ac:dyDescent="0.25">
      <c r="A748" s="141">
        <f t="shared" si="503"/>
        <v>729</v>
      </c>
      <c r="B748" s="142">
        <f t="shared" si="504"/>
        <v>271</v>
      </c>
      <c r="C748" s="62" t="s">
        <v>46</v>
      </c>
      <c r="D748" s="62" t="s">
        <v>1154</v>
      </c>
      <c r="E748" s="123">
        <v>1992</v>
      </c>
      <c r="F748" s="123">
        <v>2013</v>
      </c>
      <c r="G748" s="123" t="s">
        <v>43</v>
      </c>
      <c r="H748" s="123">
        <v>9</v>
      </c>
      <c r="I748" s="123">
        <v>1</v>
      </c>
      <c r="J748" s="64">
        <v>2277.4</v>
      </c>
      <c r="K748" s="64">
        <v>2020.55</v>
      </c>
      <c r="L748" s="64">
        <v>0</v>
      </c>
      <c r="M748" s="124">
        <v>98</v>
      </c>
      <c r="N748" s="63">
        <f t="shared" si="502"/>
        <v>3266851.3906</v>
      </c>
      <c r="O748" s="64"/>
      <c r="P748" s="65"/>
      <c r="Q748" s="65"/>
      <c r="R748" s="65">
        <f t="shared" si="516"/>
        <v>1784639.6795000001</v>
      </c>
      <c r="S748" s="65">
        <f>+'Приложение №2'!E757-'Приложение №1'!R748</f>
        <v>1482211.7111</v>
      </c>
      <c r="T748" s="65">
        <v>0</v>
      </c>
      <c r="U748" s="65">
        <f t="shared" si="462"/>
        <v>1616.8129423176858</v>
      </c>
      <c r="V748" s="65">
        <v>1406.2830200640001</v>
      </c>
      <c r="W748" s="126">
        <v>2024</v>
      </c>
      <c r="X748" s="127" t="e">
        <f>+#REF!-'[1]Приложение №1'!$P1622</f>
        <v>#REF!</v>
      </c>
      <c r="Z748" s="63">
        <f t="shared" si="498"/>
        <v>9135122.7100000009</v>
      </c>
      <c r="AA748" s="64">
        <v>4658192.5833370192</v>
      </c>
      <c r="AB748" s="64">
        <v>3196940.7708411599</v>
      </c>
      <c r="AC748" s="64">
        <v>0</v>
      </c>
      <c r="AD748" s="64">
        <v>0</v>
      </c>
      <c r="AE748" s="64">
        <v>0</v>
      </c>
      <c r="AF748" s="64"/>
      <c r="AG748" s="64">
        <v>224096.45637120001</v>
      </c>
      <c r="AH748" s="64">
        <v>0</v>
      </c>
      <c r="AI748" s="64">
        <v>0</v>
      </c>
      <c r="AJ748" s="64">
        <v>0</v>
      </c>
      <c r="AK748" s="64">
        <v>0</v>
      </c>
      <c r="AL748" s="64">
        <v>0</v>
      </c>
      <c r="AM748" s="64">
        <v>787865.27960000001</v>
      </c>
      <c r="AN748" s="65">
        <v>91351.227099999989</v>
      </c>
      <c r="AO748" s="66">
        <v>176676.39275062</v>
      </c>
      <c r="AP748" s="128">
        <f>+N748-'Приложение №2'!E757</f>
        <v>0</v>
      </c>
      <c r="AQ748" s="38">
        <v>1497135.62</v>
      </c>
      <c r="AR748" s="25">
        <f t="shared" si="517"/>
        <v>287504.05949999997</v>
      </c>
      <c r="AS748" s="25">
        <f>+(K748*13.95+L748*23.65)*12*30</f>
        <v>10147202.099999998</v>
      </c>
      <c r="AT748" s="127">
        <f t="shared" si="465"/>
        <v>-8664990.3888999969</v>
      </c>
      <c r="AU748" s="127">
        <f>+P748-'[6]Приложение №1'!$P686</f>
        <v>0</v>
      </c>
      <c r="AV748" s="127">
        <f>+Q748-'[6]Приложение №1'!$Q686</f>
        <v>0</v>
      </c>
      <c r="AW748" s="88">
        <f t="shared" si="481"/>
        <v>3266851.3906</v>
      </c>
      <c r="AX748" s="64"/>
      <c r="AY748" s="64">
        <v>3196940.7708411599</v>
      </c>
      <c r="AZ748" s="64">
        <v>0</v>
      </c>
      <c r="BA748" s="64">
        <v>0</v>
      </c>
      <c r="BB748" s="64">
        <v>0</v>
      </c>
      <c r="BC748" s="64"/>
      <c r="BD748" s="64"/>
      <c r="BE748" s="64">
        <v>0</v>
      </c>
      <c r="BF748" s="64">
        <v>0</v>
      </c>
      <c r="BG748" s="64">
        <v>0</v>
      </c>
      <c r="BH748" s="64">
        <v>0</v>
      </c>
      <c r="BI748" s="64">
        <v>0</v>
      </c>
      <c r="BJ748" s="64"/>
      <c r="BK748" s="65"/>
      <c r="BL748" s="66">
        <v>69910.61975884001</v>
      </c>
    </row>
    <row r="749" spans="1:64" x14ac:dyDescent="0.25">
      <c r="A749" s="141">
        <f t="shared" si="503"/>
        <v>730</v>
      </c>
      <c r="B749" s="142">
        <f t="shared" si="504"/>
        <v>272</v>
      </c>
      <c r="C749" s="62" t="s">
        <v>46</v>
      </c>
      <c r="D749" s="62" t="s">
        <v>1155</v>
      </c>
      <c r="E749" s="123">
        <v>1989</v>
      </c>
      <c r="F749" s="123">
        <v>2015</v>
      </c>
      <c r="G749" s="123" t="s">
        <v>43</v>
      </c>
      <c r="H749" s="123">
        <v>9</v>
      </c>
      <c r="I749" s="123">
        <v>1</v>
      </c>
      <c r="J749" s="64">
        <v>2250.9</v>
      </c>
      <c r="K749" s="64">
        <v>2005.7</v>
      </c>
      <c r="L749" s="64">
        <v>0</v>
      </c>
      <c r="M749" s="124">
        <v>81</v>
      </c>
      <c r="N749" s="95">
        <f>+P749+Q749+R749+S749+T749</f>
        <v>8858174.1696719993</v>
      </c>
      <c r="O749" s="64"/>
      <c r="P749" s="65"/>
      <c r="Q749" s="65"/>
      <c r="R749" s="65">
        <f>+AQ749+AR749</f>
        <v>1375698.0906</v>
      </c>
      <c r="S749" s="65">
        <f>+'Приложение №2'!E758-'Приложение №1'!R749</f>
        <v>7482476.0790719995</v>
      </c>
      <c r="T749" s="65">
        <v>0</v>
      </c>
      <c r="U749" s="64">
        <f>$N749/($K749+$L749)</f>
        <v>4416.500059665952</v>
      </c>
      <c r="V749" s="64">
        <f>$N749/($K749+$L749)</f>
        <v>4416.500059665952</v>
      </c>
      <c r="W749" s="126">
        <v>2024</v>
      </c>
      <c r="X749" s="127" t="e">
        <f>+#REF!-'[1]Приложение №1'!$P1452</f>
        <v>#REF!</v>
      </c>
      <c r="Z749" s="63">
        <f>SUM(AA749:AO749)</f>
        <v>8960039.7127500009</v>
      </c>
      <c r="AA749" s="64">
        <v>4869659.12</v>
      </c>
      <c r="AB749" s="64">
        <v>3179641.99571718</v>
      </c>
      <c r="AC749" s="64">
        <v>0</v>
      </c>
      <c r="AD749" s="64">
        <v>0</v>
      </c>
      <c r="AE749" s="64">
        <v>0</v>
      </c>
      <c r="AF749" s="64"/>
      <c r="AG749" s="64">
        <v>222883.86136800001</v>
      </c>
      <c r="AH749" s="64">
        <v>0</v>
      </c>
      <c r="AI749" s="64">
        <v>0</v>
      </c>
      <c r="AJ749" s="64">
        <v>0</v>
      </c>
      <c r="AK749" s="64">
        <v>0</v>
      </c>
      <c r="AL749" s="64">
        <v>0</v>
      </c>
      <c r="AM749" s="64">
        <v>449564.57699999999</v>
      </c>
      <c r="AN749" s="65">
        <v>61925.636700000003</v>
      </c>
      <c r="AO749" s="66">
        <v>176364.52196481999</v>
      </c>
      <c r="AP749" s="128">
        <f>+N749-'Приложение №2'!E758</f>
        <v>0</v>
      </c>
      <c r="AQ749" s="23">
        <v>1103809.4099999999</v>
      </c>
      <c r="AR749" s="25">
        <f>+(K749*13.29+L749*22.52)*12*0.85</f>
        <v>271888.68060000002</v>
      </c>
      <c r="AS749" s="25">
        <f>+(K749*13.29+L749*22.52)*12*30</f>
        <v>9596071.0800000001</v>
      </c>
      <c r="AT749" s="127">
        <f>+S749-AS749</f>
        <v>-2113595.0009280005</v>
      </c>
      <c r="AU749" s="127">
        <f>+P749-'[6]Приложение №1'!$P408</f>
        <v>-5180548.3166666673</v>
      </c>
      <c r="AV749" s="127">
        <f>+Q749-'[6]Приложение №1'!$Q408</f>
        <v>0</v>
      </c>
      <c r="AW749" s="63">
        <f>SUBTOTAL(9,AX749:BL749)</f>
        <v>8858174.1696719993</v>
      </c>
      <c r="AX749" s="64">
        <v>4988188.1969219996</v>
      </c>
      <c r="AY749" s="64">
        <v>3464508.143712</v>
      </c>
      <c r="AZ749" s="64">
        <v>0</v>
      </c>
      <c r="BA749" s="64">
        <v>0</v>
      </c>
      <c r="BB749" s="64">
        <v>0</v>
      </c>
      <c r="BC749" s="64"/>
      <c r="BD749" s="64">
        <v>222883.86136800001</v>
      </c>
      <c r="BE749" s="64">
        <v>0</v>
      </c>
      <c r="BF749" s="64">
        <v>0</v>
      </c>
      <c r="BG749" s="64">
        <v>0</v>
      </c>
      <c r="BH749" s="64">
        <v>0</v>
      </c>
      <c r="BI749" s="64">
        <v>0</v>
      </c>
      <c r="BJ749" s="64"/>
      <c r="BK749" s="65"/>
      <c r="BL749" s="66">
        <v>182593.96767000001</v>
      </c>
    </row>
    <row r="750" spans="1:64" x14ac:dyDescent="0.25">
      <c r="A750" s="141">
        <f t="shared" si="503"/>
        <v>731</v>
      </c>
      <c r="B750" s="142">
        <f t="shared" si="504"/>
        <v>273</v>
      </c>
      <c r="C750" s="62" t="s">
        <v>46</v>
      </c>
      <c r="D750" s="62" t="s">
        <v>850</v>
      </c>
      <c r="E750" s="123">
        <v>1988</v>
      </c>
      <c r="F750" s="123">
        <v>2014</v>
      </c>
      <c r="G750" s="123" t="s">
        <v>43</v>
      </c>
      <c r="H750" s="123">
        <v>9</v>
      </c>
      <c r="I750" s="123">
        <v>1</v>
      </c>
      <c r="J750" s="64">
        <v>2270.5</v>
      </c>
      <c r="K750" s="64">
        <v>2006.4</v>
      </c>
      <c r="L750" s="64">
        <v>66</v>
      </c>
      <c r="M750" s="124">
        <v>90</v>
      </c>
      <c r="N750" s="95">
        <f>+P750+Q750+R750+S750+T750</f>
        <v>7481358.0205419995</v>
      </c>
      <c r="O750" s="64"/>
      <c r="P750" s="65"/>
      <c r="Q750" s="65"/>
      <c r="R750" s="65">
        <f>+AQ750+AR750</f>
        <v>1477419.7452</v>
      </c>
      <c r="S750" s="65">
        <f>+'Приложение №2'!E759-'Приложение №1'!R750</f>
        <v>6003938.2753419997</v>
      </c>
      <c r="T750" s="65">
        <v>0</v>
      </c>
      <c r="U750" s="64">
        <f>$N750/($K750+$L750)</f>
        <v>3609.9971147182009</v>
      </c>
      <c r="V750" s="64">
        <f>$N750/($K750+$L750)</f>
        <v>3609.9971147182009</v>
      </c>
      <c r="W750" s="126">
        <v>2024</v>
      </c>
      <c r="X750" s="127" t="e">
        <f>+#REF!-'[1]Приложение №1'!$P1453</f>
        <v>#REF!</v>
      </c>
      <c r="Z750" s="63">
        <f>SUM(AA750:AO750)</f>
        <v>11270269.226899998</v>
      </c>
      <c r="AA750" s="64">
        <v>4965914.72</v>
      </c>
      <c r="AB750" s="64">
        <v>3178213.6485762601</v>
      </c>
      <c r="AC750" s="64">
        <v>1934636.11525968</v>
      </c>
      <c r="AD750" s="64">
        <v>0</v>
      </c>
      <c r="AE750" s="64">
        <v>0</v>
      </c>
      <c r="AF750" s="64"/>
      <c r="AG750" s="64">
        <v>222783.73884480001</v>
      </c>
      <c r="AH750" s="64">
        <v>0</v>
      </c>
      <c r="AI750" s="64">
        <v>0</v>
      </c>
      <c r="AJ750" s="64">
        <v>0</v>
      </c>
      <c r="AK750" s="64">
        <v>0</v>
      </c>
      <c r="AL750" s="64">
        <v>0</v>
      </c>
      <c r="AM750" s="64">
        <v>671526.34699999995</v>
      </c>
      <c r="AN750" s="65">
        <v>76330.362099999984</v>
      </c>
      <c r="AO750" s="66">
        <v>220864.29511925997</v>
      </c>
      <c r="AP750" s="128">
        <f>+N750-'Приложение №2'!E759</f>
        <v>0</v>
      </c>
      <c r="AQ750" s="23">
        <v>1190275.71</v>
      </c>
      <c r="AR750" s="25">
        <f>+(K750*13.29+L750*22.52)*12*0.85</f>
        <v>287144.03519999998</v>
      </c>
      <c r="AS750" s="25">
        <f>+(K750*13.29+L750*22.52)*12*30</f>
        <v>10134495.359999999</v>
      </c>
      <c r="AT750" s="127">
        <f>+S750-AS750</f>
        <v>-4130557.0846579997</v>
      </c>
      <c r="AU750" s="127">
        <f>+P750-'[6]Приложение №1'!$P409</f>
        <v>0</v>
      </c>
      <c r="AV750" s="127">
        <f>+Q750-'[6]Приложение №1'!$Q409</f>
        <v>0</v>
      </c>
      <c r="AW750" s="63">
        <f>SUBTOTAL(9,AX750:BL750)</f>
        <v>7481358.0205419995</v>
      </c>
      <c r="AX750" s="64">
        <v>4993428.7956419997</v>
      </c>
      <c r="AY750" s="64"/>
      <c r="AZ750" s="64">
        <v>2109950.6526000001</v>
      </c>
      <c r="BA750" s="64">
        <v>0</v>
      </c>
      <c r="BB750" s="64">
        <v>0</v>
      </c>
      <c r="BC750" s="64"/>
      <c r="BD750" s="64">
        <v>222783.73884480001</v>
      </c>
      <c r="BE750" s="64">
        <v>0</v>
      </c>
      <c r="BF750" s="64">
        <v>0</v>
      </c>
      <c r="BG750" s="64">
        <v>0</v>
      </c>
      <c r="BH750" s="64">
        <v>0</v>
      </c>
      <c r="BI750" s="64">
        <v>0</v>
      </c>
      <c r="BJ750" s="64"/>
      <c r="BK750" s="65"/>
      <c r="BL750" s="66">
        <v>155194.83345520002</v>
      </c>
    </row>
    <row r="751" spans="1:64" x14ac:dyDescent="0.25">
      <c r="A751" s="141">
        <f t="shared" si="503"/>
        <v>732</v>
      </c>
      <c r="B751" s="142">
        <f t="shared" si="504"/>
        <v>274</v>
      </c>
      <c r="C751" s="62" t="s">
        <v>46</v>
      </c>
      <c r="D751" s="62" t="s">
        <v>1156</v>
      </c>
      <c r="E751" s="123">
        <v>1992</v>
      </c>
      <c r="F751" s="123">
        <v>2015</v>
      </c>
      <c r="G751" s="123" t="s">
        <v>43</v>
      </c>
      <c r="H751" s="123">
        <v>9</v>
      </c>
      <c r="I751" s="123">
        <v>1</v>
      </c>
      <c r="J751" s="64">
        <v>2197.1999999999998</v>
      </c>
      <c r="K751" s="64">
        <v>1934.5</v>
      </c>
      <c r="L751" s="64">
        <v>60.3</v>
      </c>
      <c r="M751" s="124">
        <v>70</v>
      </c>
      <c r="N751" s="63">
        <f t="shared" si="502"/>
        <v>3137273.6384000005</v>
      </c>
      <c r="O751" s="64"/>
      <c r="P751" s="65"/>
      <c r="Q751" s="65"/>
      <c r="R751" s="65">
        <f t="shared" si="516"/>
        <v>1655261.6239999998</v>
      </c>
      <c r="S751" s="65">
        <f>+'Приложение №2'!E760-'Приложение №1'!R751</f>
        <v>1482012.0144000002</v>
      </c>
      <c r="T751" s="65">
        <v>2.3283064365386963E-10</v>
      </c>
      <c r="U751" s="65">
        <f t="shared" si="462"/>
        <v>1621.7491023003363</v>
      </c>
      <c r="V751" s="65">
        <v>1407.2830200640001</v>
      </c>
      <c r="W751" s="126">
        <v>2024</v>
      </c>
      <c r="X751" s="127" t="e">
        <f>+#REF!-'[1]Приложение №1'!$P1623</f>
        <v>#REF!</v>
      </c>
      <c r="Z751" s="63">
        <f t="shared" si="498"/>
        <v>8772783.4000000022</v>
      </c>
      <c r="AA751" s="64">
        <v>4473428.0922458405</v>
      </c>
      <c r="AB751" s="64">
        <v>3070135.98253824</v>
      </c>
      <c r="AC751" s="64">
        <v>0</v>
      </c>
      <c r="AD751" s="64">
        <v>0</v>
      </c>
      <c r="AE751" s="64">
        <v>0</v>
      </c>
      <c r="AF751" s="64"/>
      <c r="AG751" s="64">
        <v>215207.80125600001</v>
      </c>
      <c r="AH751" s="64">
        <v>0</v>
      </c>
      <c r="AI751" s="64">
        <v>0</v>
      </c>
      <c r="AJ751" s="64">
        <v>0</v>
      </c>
      <c r="AK751" s="64">
        <v>0</v>
      </c>
      <c r="AL751" s="64">
        <v>0</v>
      </c>
      <c r="AM751" s="64">
        <v>756615.06319999998</v>
      </c>
      <c r="AN751" s="65">
        <v>87727.834000000003</v>
      </c>
      <c r="AO751" s="66">
        <v>169668.62675992004</v>
      </c>
      <c r="AP751" s="128">
        <f>+N751-'Приложение №2'!E760</f>
        <v>0</v>
      </c>
      <c r="AQ751" s="38">
        <v>1365455.45</v>
      </c>
      <c r="AR751" s="25">
        <f t="shared" si="517"/>
        <v>289806.174</v>
      </c>
      <c r="AS751" s="25">
        <f>+(K751*13.95+L751*23.65)*12*30</f>
        <v>10228453.199999999</v>
      </c>
      <c r="AT751" s="127">
        <f t="shared" si="465"/>
        <v>-8746441.1855999995</v>
      </c>
      <c r="AU751" s="127">
        <f>+P751-'[6]Приложение №1'!$P687</f>
        <v>0</v>
      </c>
      <c r="AV751" s="127">
        <f>+Q751-'[6]Приложение №1'!$Q687</f>
        <v>0</v>
      </c>
      <c r="AW751" s="88">
        <f t="shared" si="481"/>
        <v>3137273.6384000001</v>
      </c>
      <c r="AX751" s="64"/>
      <c r="AY751" s="64">
        <v>3070135.98253824</v>
      </c>
      <c r="AZ751" s="64">
        <v>0</v>
      </c>
      <c r="BA751" s="64">
        <v>0</v>
      </c>
      <c r="BB751" s="64">
        <v>0</v>
      </c>
      <c r="BC751" s="64"/>
      <c r="BD751" s="64"/>
      <c r="BE751" s="64">
        <v>0</v>
      </c>
      <c r="BF751" s="64">
        <v>0</v>
      </c>
      <c r="BG751" s="64">
        <v>0</v>
      </c>
      <c r="BH751" s="64">
        <v>0</v>
      </c>
      <c r="BI751" s="64">
        <v>0</v>
      </c>
      <c r="BJ751" s="64"/>
      <c r="BK751" s="65"/>
      <c r="BL751" s="66">
        <v>67137.655861760009</v>
      </c>
    </row>
    <row r="752" spans="1:64" x14ac:dyDescent="0.25">
      <c r="A752" s="141">
        <f t="shared" si="503"/>
        <v>733</v>
      </c>
      <c r="B752" s="142">
        <f t="shared" si="504"/>
        <v>275</v>
      </c>
      <c r="C752" s="62" t="s">
        <v>46</v>
      </c>
      <c r="D752" s="62" t="s">
        <v>1157</v>
      </c>
      <c r="E752" s="123">
        <v>1991</v>
      </c>
      <c r="F752" s="123">
        <v>2012</v>
      </c>
      <c r="G752" s="123" t="s">
        <v>43</v>
      </c>
      <c r="H752" s="123">
        <v>9</v>
      </c>
      <c r="I752" s="123">
        <v>1</v>
      </c>
      <c r="J752" s="64">
        <v>2282.58</v>
      </c>
      <c r="K752" s="64">
        <v>1973.3</v>
      </c>
      <c r="L752" s="64">
        <v>54.5</v>
      </c>
      <c r="M752" s="124">
        <v>71</v>
      </c>
      <c r="N752" s="63">
        <f t="shared" si="502"/>
        <v>5749866.5198840005</v>
      </c>
      <c r="O752" s="64"/>
      <c r="P752" s="65"/>
      <c r="Q752" s="65"/>
      <c r="R752" s="65">
        <f t="shared" si="516"/>
        <v>1570692.632</v>
      </c>
      <c r="S752" s="65">
        <f>+'Приложение №2'!E761-'Приложение №1'!R752</f>
        <v>4179173.8878840003</v>
      </c>
      <c r="T752" s="65">
        <v>0</v>
      </c>
      <c r="U752" s="65">
        <f t="shared" si="462"/>
        <v>2913.8329295515132</v>
      </c>
      <c r="V752" s="65">
        <v>1408.2830200640001</v>
      </c>
      <c r="W752" s="126">
        <v>2024</v>
      </c>
      <c r="X752" s="127" t="e">
        <f>+#REF!-'[1]Приложение №1'!$P1859</f>
        <v>#REF!</v>
      </c>
      <c r="Z752" s="63">
        <f t="shared" si="498"/>
        <v>11449528.669999998</v>
      </c>
      <c r="AA752" s="64">
        <v>4690983.077540759</v>
      </c>
      <c r="AB752" s="64">
        <v>3219445.0464132596</v>
      </c>
      <c r="AC752" s="64">
        <v>1959734.4140967599</v>
      </c>
      <c r="AD752" s="64">
        <v>0</v>
      </c>
      <c r="AE752" s="64">
        <v>0</v>
      </c>
      <c r="AF752" s="64"/>
      <c r="AG752" s="64">
        <v>225673.94234783997</v>
      </c>
      <c r="AH752" s="64">
        <v>0</v>
      </c>
      <c r="AI752" s="64">
        <v>0</v>
      </c>
      <c r="AJ752" s="64">
        <v>0</v>
      </c>
      <c r="AK752" s="64">
        <v>0</v>
      </c>
      <c r="AL752" s="64">
        <v>0</v>
      </c>
      <c r="AM752" s="64">
        <v>1018421.4066000001</v>
      </c>
      <c r="AN752" s="65">
        <v>114495.28669999998</v>
      </c>
      <c r="AO752" s="66">
        <v>220775.49630137999</v>
      </c>
      <c r="AP752" s="128">
        <f>+N752-'Приложение №2'!E761</f>
        <v>0</v>
      </c>
      <c r="AQ752" s="127">
        <f>1276764.74</f>
        <v>1276764.74</v>
      </c>
      <c r="AR752" s="25">
        <f t="shared" si="517"/>
        <v>293927.89199999993</v>
      </c>
      <c r="AS752" s="25">
        <f>+(K752*13.95+L752*23.65)*12*30</f>
        <v>10373925.6</v>
      </c>
      <c r="AT752" s="127">
        <f t="shared" si="465"/>
        <v>-6194751.7121159993</v>
      </c>
      <c r="AU752" s="127">
        <f>+P752-'[6]Приложение №1'!$P688</f>
        <v>0</v>
      </c>
      <c r="AV752" s="127">
        <f>+Q752-'[6]Приложение №1'!$Q688</f>
        <v>0</v>
      </c>
      <c r="AW752" s="88">
        <f t="shared" si="481"/>
        <v>5749866.5198840005</v>
      </c>
      <c r="AX752" s="64"/>
      <c r="AY752" s="64">
        <v>3526312.8793200003</v>
      </c>
      <c r="AZ752" s="64">
        <v>2147628.2009279998</v>
      </c>
      <c r="BA752" s="64">
        <v>0</v>
      </c>
      <c r="BB752" s="64">
        <v>0</v>
      </c>
      <c r="BC752" s="64"/>
      <c r="BD752" s="64"/>
      <c r="BE752" s="64">
        <v>0</v>
      </c>
      <c r="BF752" s="64">
        <v>0</v>
      </c>
      <c r="BG752" s="64">
        <v>0</v>
      </c>
      <c r="BH752" s="64">
        <v>0</v>
      </c>
      <c r="BI752" s="64">
        <v>0</v>
      </c>
      <c r="BJ752" s="64"/>
      <c r="BK752" s="65"/>
      <c r="BL752" s="66">
        <v>75925.43963600001</v>
      </c>
    </row>
    <row r="753" spans="1:64" s="74" customFormat="1" x14ac:dyDescent="0.25">
      <c r="A753" s="141">
        <f t="shared" si="503"/>
        <v>734</v>
      </c>
      <c r="B753" s="142">
        <f t="shared" si="504"/>
        <v>276</v>
      </c>
      <c r="C753" s="62" t="s">
        <v>46</v>
      </c>
      <c r="D753" s="62" t="s">
        <v>857</v>
      </c>
      <c r="E753" s="123" t="s">
        <v>135</v>
      </c>
      <c r="F753" s="123" t="s">
        <v>135</v>
      </c>
      <c r="G753" s="123" t="s">
        <v>43</v>
      </c>
      <c r="H753" s="123" t="s">
        <v>97</v>
      </c>
      <c r="I753" s="123" t="s">
        <v>102</v>
      </c>
      <c r="J753" s="64">
        <v>2491.9</v>
      </c>
      <c r="K753" s="64">
        <v>1556.5</v>
      </c>
      <c r="L753" s="64">
        <v>0</v>
      </c>
      <c r="M753" s="124">
        <v>87</v>
      </c>
      <c r="N753" s="63">
        <f t="shared" si="502"/>
        <v>4271050</v>
      </c>
      <c r="O753" s="64">
        <v>0</v>
      </c>
      <c r="P753" s="65"/>
      <c r="Q753" s="65">
        <v>0</v>
      </c>
      <c r="R753" s="65">
        <f t="shared" si="516"/>
        <v>918885.61499999999</v>
      </c>
      <c r="S753" s="65">
        <f>+'Приложение №2'!E762-'Приложение №1'!R753</f>
        <v>3352164.3849999998</v>
      </c>
      <c r="T753" s="65">
        <v>0</v>
      </c>
      <c r="U753" s="65">
        <f t="shared" si="462"/>
        <v>2744.00899453903</v>
      </c>
      <c r="V753" s="65">
        <v>1409.2830200640001</v>
      </c>
      <c r="W753" s="126">
        <v>2024</v>
      </c>
      <c r="X753" s="74">
        <v>387429.28</v>
      </c>
      <c r="Y753" s="74">
        <f>+(K753*12.08+L753*20.47)*12</f>
        <v>225630.24</v>
      </c>
      <c r="AA753" s="129">
        <f>+N753-'[5]Приложение № 2'!E655</f>
        <v>-1678734.1576571837</v>
      </c>
      <c r="AD753" s="129">
        <f>+N753-'[5]Приложение № 2'!E655</f>
        <v>-1678734.1576571837</v>
      </c>
      <c r="AP753" s="128">
        <f>+N753-'Приложение №2'!E762</f>
        <v>0</v>
      </c>
      <c r="AQ753" s="38">
        <v>697411.23</v>
      </c>
      <c r="AR753" s="25">
        <f t="shared" si="517"/>
        <v>221474.38499999998</v>
      </c>
      <c r="AS753" s="25">
        <f>+(K753*13.95+L753*23.65)*12*30</f>
        <v>7816742.9999999991</v>
      </c>
      <c r="AT753" s="127">
        <f t="shared" si="465"/>
        <v>-4464578.6149999993</v>
      </c>
      <c r="AU753" s="127">
        <f>+P753-'[6]Приложение №1'!$P689</f>
        <v>0</v>
      </c>
      <c r="AV753" s="127">
        <f>+Q753-'[6]Приложение №1'!$Q689</f>
        <v>0</v>
      </c>
      <c r="AW753" s="88">
        <f t="shared" si="481"/>
        <v>4271050</v>
      </c>
      <c r="AX753" s="64"/>
      <c r="AY753" s="64"/>
      <c r="AZ753" s="64"/>
      <c r="BA753" s="64"/>
      <c r="BB753" s="64"/>
      <c r="BC753" s="64"/>
      <c r="BD753" s="64"/>
      <c r="BE753" s="64">
        <v>4012463.5488</v>
      </c>
      <c r="BF753" s="64"/>
      <c r="BG753" s="64"/>
      <c r="BH753" s="64"/>
      <c r="BI753" s="64"/>
      <c r="BJ753" s="64">
        <v>128131.5</v>
      </c>
      <c r="BK753" s="65">
        <v>42710.5</v>
      </c>
      <c r="BL753" s="66">
        <v>87744.45120000001</v>
      </c>
    </row>
    <row r="754" spans="1:64" x14ac:dyDescent="0.25">
      <c r="A754" s="141">
        <f t="shared" si="503"/>
        <v>735</v>
      </c>
      <c r="B754" s="142">
        <f t="shared" si="504"/>
        <v>277</v>
      </c>
      <c r="C754" s="62" t="s">
        <v>46</v>
      </c>
      <c r="D754" s="62" t="s">
        <v>1158</v>
      </c>
      <c r="E754" s="123">
        <v>1993</v>
      </c>
      <c r="F754" s="123">
        <v>2016</v>
      </c>
      <c r="G754" s="123" t="s">
        <v>43</v>
      </c>
      <c r="H754" s="123">
        <v>9</v>
      </c>
      <c r="I754" s="123">
        <v>1</v>
      </c>
      <c r="J754" s="64">
        <v>2834.5</v>
      </c>
      <c r="K754" s="64">
        <v>1783.4</v>
      </c>
      <c r="L754" s="64">
        <v>0</v>
      </c>
      <c r="M754" s="124">
        <v>147</v>
      </c>
      <c r="N754" s="95">
        <f>+P754+Q754+R754+S754+T754</f>
        <v>3195363.8498400003</v>
      </c>
      <c r="O754" s="64"/>
      <c r="P754" s="65"/>
      <c r="Q754" s="65"/>
      <c r="R754" s="65">
        <f>+AQ754+AR754</f>
        <v>779041.65720000002</v>
      </c>
      <c r="S754" s="65">
        <f>+'Приложение №2'!E763-'Приложение №1'!R754</f>
        <v>2416322.19264</v>
      </c>
      <c r="T754" s="65">
        <v>0</v>
      </c>
      <c r="U754" s="64">
        <f>$N754/($K754+$L754)</f>
        <v>1791.7258325894359</v>
      </c>
      <c r="V754" s="64">
        <f>$N754/($K754+$L754)</f>
        <v>1791.7258325894359</v>
      </c>
      <c r="W754" s="126">
        <v>2024</v>
      </c>
      <c r="X754" s="127" t="e">
        <f>+#REF!-'[1]Приложение №1'!$P1625</f>
        <v>#REF!</v>
      </c>
      <c r="Z754" s="63">
        <f>SUM(AA754:AO754)</f>
        <v>3200641.1</v>
      </c>
      <c r="AA754" s="64">
        <v>0</v>
      </c>
      <c r="AB754" s="64">
        <v>0</v>
      </c>
      <c r="AC754" s="64">
        <v>0</v>
      </c>
      <c r="AD754" s="64">
        <v>0</v>
      </c>
      <c r="AE754" s="64">
        <v>0</v>
      </c>
      <c r="AF754" s="64"/>
      <c r="AG754" s="64">
        <v>0</v>
      </c>
      <c r="AH754" s="64">
        <v>0</v>
      </c>
      <c r="AI754" s="64">
        <v>2818932.6424140004</v>
      </c>
      <c r="AJ754" s="64">
        <v>0</v>
      </c>
      <c r="AK754" s="64">
        <v>0</v>
      </c>
      <c r="AL754" s="64">
        <v>0</v>
      </c>
      <c r="AM754" s="64">
        <v>288057.69900000002</v>
      </c>
      <c r="AN754" s="65">
        <v>32006.411</v>
      </c>
      <c r="AO754" s="66">
        <v>61644.347586000011</v>
      </c>
      <c r="AP754" s="128">
        <f>+N754-'Приложение №2'!E763</f>
        <v>0</v>
      </c>
      <c r="AQ754" s="23">
        <v>537287.52</v>
      </c>
      <c r="AR754" s="25">
        <f>+(K754*13.29+L754*22.52)*12*0.85</f>
        <v>241754.13719999997</v>
      </c>
      <c r="AS754" s="25">
        <f>+(K754*13.95+L754*23.65)*12*30</f>
        <v>8956234.8000000007</v>
      </c>
      <c r="AT754" s="127">
        <f>+S754-AS754</f>
        <v>-6539912.6073600007</v>
      </c>
      <c r="AU754" s="127">
        <f>+P754-'[6]Приложение №1'!$P413</f>
        <v>0</v>
      </c>
      <c r="AV754" s="127">
        <f>+Q754-'[6]Приложение №1'!$Q413</f>
        <v>0</v>
      </c>
      <c r="AW754" s="63">
        <f>SUBTOTAL(9,AX754:BL754)</f>
        <v>3195363.8498400003</v>
      </c>
      <c r="AX754" s="64">
        <v>0</v>
      </c>
      <c r="AY754" s="64">
        <v>0</v>
      </c>
      <c r="AZ754" s="64">
        <v>0</v>
      </c>
      <c r="BA754" s="64">
        <v>0</v>
      </c>
      <c r="BB754" s="64">
        <v>0</v>
      </c>
      <c r="BC754" s="64"/>
      <c r="BD754" s="64"/>
      <c r="BE754" s="64">
        <v>0</v>
      </c>
      <c r="BF754" s="64">
        <v>3054781.0748700001</v>
      </c>
      <c r="BG754" s="64">
        <v>0</v>
      </c>
      <c r="BH754" s="64">
        <v>0</v>
      </c>
      <c r="BI754" s="64">
        <v>0</v>
      </c>
      <c r="BJ754" s="64"/>
      <c r="BK754" s="65"/>
      <c r="BL754" s="66">
        <v>140582.77497</v>
      </c>
    </row>
    <row r="755" spans="1:64" x14ac:dyDescent="0.25">
      <c r="A755" s="141">
        <f t="shared" si="503"/>
        <v>736</v>
      </c>
      <c r="B755" s="142">
        <f t="shared" si="504"/>
        <v>278</v>
      </c>
      <c r="C755" s="62" t="s">
        <v>57</v>
      </c>
      <c r="D755" s="62" t="s">
        <v>987</v>
      </c>
      <c r="E755" s="123">
        <v>1990</v>
      </c>
      <c r="F755" s="123">
        <v>2014</v>
      </c>
      <c r="G755" s="123" t="s">
        <v>43</v>
      </c>
      <c r="H755" s="123">
        <v>5</v>
      </c>
      <c r="I755" s="123">
        <v>2</v>
      </c>
      <c r="J755" s="64">
        <v>2213.5</v>
      </c>
      <c r="K755" s="64">
        <v>2213.5</v>
      </c>
      <c r="L755" s="64">
        <v>0</v>
      </c>
      <c r="M755" s="124">
        <v>93</v>
      </c>
      <c r="N755" s="63">
        <f t="shared" si="502"/>
        <v>6448840.0972000007</v>
      </c>
      <c r="O755" s="64"/>
      <c r="P755" s="65"/>
      <c r="Q755" s="65"/>
      <c r="R755" s="65">
        <f t="shared" si="516"/>
        <v>1203671.26</v>
      </c>
      <c r="S755" s="65">
        <f>+'Приложение №2'!E764-'Приложение №1'!R755</f>
        <v>5245168.8372000009</v>
      </c>
      <c r="T755" s="65">
        <v>0</v>
      </c>
      <c r="U755" s="65">
        <f t="shared" si="462"/>
        <v>2913.4131905127629</v>
      </c>
      <c r="V755" s="65">
        <v>1410.2830200640001</v>
      </c>
      <c r="W755" s="126">
        <v>2024</v>
      </c>
      <c r="X755" s="127" t="e">
        <f>+#REF!-'[1]Приложение №1'!$P1209</f>
        <v>#REF!</v>
      </c>
      <c r="Z755" s="63">
        <f>SUM(AA755:AO755)</f>
        <v>7131894.3900000006</v>
      </c>
      <c r="AA755" s="64">
        <v>3861288.8462639404</v>
      </c>
      <c r="AB755" s="64">
        <v>2292533.9415640198</v>
      </c>
      <c r="AC755" s="64">
        <v>0</v>
      </c>
      <c r="AD755" s="64">
        <v>0</v>
      </c>
      <c r="AE755" s="64">
        <v>0</v>
      </c>
      <c r="AF755" s="64"/>
      <c r="AG755" s="64">
        <v>157012.13129196005</v>
      </c>
      <c r="AH755" s="64">
        <v>0</v>
      </c>
      <c r="AI755" s="64">
        <v>0</v>
      </c>
      <c r="AJ755" s="64">
        <v>0</v>
      </c>
      <c r="AK755" s="64">
        <v>0</v>
      </c>
      <c r="AL755" s="64">
        <v>0</v>
      </c>
      <c r="AM755" s="64">
        <v>611735.34889999998</v>
      </c>
      <c r="AN755" s="65">
        <v>71318.943900000013</v>
      </c>
      <c r="AO755" s="66">
        <v>138005.17808008002</v>
      </c>
      <c r="AP755" s="128">
        <f>+N755-'Приложение №2'!E764</f>
        <v>0</v>
      </c>
      <c r="AQ755" s="38">
        <v>966605.41</v>
      </c>
      <c r="AR755" s="25">
        <f t="shared" ref="AR755:AR795" si="518">+(K755*10.5+L755*21)*12*0.85</f>
        <v>237065.85</v>
      </c>
      <c r="AS755" s="25">
        <f>+(K755*10.5+L755*21)*12*30</f>
        <v>8367030</v>
      </c>
      <c r="AT755" s="127">
        <f t="shared" si="465"/>
        <v>-3121861.1627999991</v>
      </c>
      <c r="AU755" s="127">
        <f>+P755-'[6]Приложение №1'!$P690</f>
        <v>0</v>
      </c>
      <c r="AV755" s="127">
        <f>+Q755-'[6]Приложение №1'!$Q690</f>
        <v>0</v>
      </c>
      <c r="AW755" s="88">
        <f t="shared" si="481"/>
        <v>6448840.0972000007</v>
      </c>
      <c r="AX755" s="64">
        <v>3861288.8462639404</v>
      </c>
      <c r="AY755" s="64">
        <v>2292533.9415640198</v>
      </c>
      <c r="AZ755" s="64">
        <v>0</v>
      </c>
      <c r="BA755" s="64">
        <v>0</v>
      </c>
      <c r="BB755" s="64">
        <v>0</v>
      </c>
      <c r="BC755" s="64"/>
      <c r="BD755" s="64">
        <v>157012.13129196005</v>
      </c>
      <c r="BE755" s="64">
        <v>0</v>
      </c>
      <c r="BF755" s="64">
        <v>0</v>
      </c>
      <c r="BG755" s="64">
        <v>0</v>
      </c>
      <c r="BH755" s="64">
        <v>0</v>
      </c>
      <c r="BI755" s="64">
        <v>0</v>
      </c>
      <c r="BJ755" s="64"/>
      <c r="BK755" s="65"/>
      <c r="BL755" s="66">
        <v>138005.17808008002</v>
      </c>
    </row>
    <row r="756" spans="1:64" x14ac:dyDescent="0.25">
      <c r="A756" s="141">
        <f t="shared" si="503"/>
        <v>737</v>
      </c>
      <c r="B756" s="142">
        <f t="shared" si="504"/>
        <v>279</v>
      </c>
      <c r="C756" s="62" t="s">
        <v>58</v>
      </c>
      <c r="D756" s="62" t="s">
        <v>988</v>
      </c>
      <c r="E756" s="123">
        <v>1985</v>
      </c>
      <c r="F756" s="123">
        <v>1985</v>
      </c>
      <c r="G756" s="123" t="s">
        <v>43</v>
      </c>
      <c r="H756" s="123">
        <v>5</v>
      </c>
      <c r="I756" s="123">
        <v>1</v>
      </c>
      <c r="J756" s="64">
        <v>3093.6</v>
      </c>
      <c r="K756" s="64">
        <v>1867</v>
      </c>
      <c r="L756" s="64">
        <v>323</v>
      </c>
      <c r="M756" s="124">
        <v>98</v>
      </c>
      <c r="N756" s="63">
        <f t="shared" si="502"/>
        <v>21340738.46935799</v>
      </c>
      <c r="O756" s="64"/>
      <c r="P756" s="65">
        <v>1931757.0175000001</v>
      </c>
      <c r="Q756" s="65"/>
      <c r="R756" s="65">
        <f>+AR756</f>
        <v>269142.3</v>
      </c>
      <c r="S756" s="65">
        <f>+AS756</f>
        <v>9499140</v>
      </c>
      <c r="T756" s="65">
        <f>+'Приложение №2'!E765-'Приложение №1'!P756-'Приложение №1'!Q756-'Приложение №1'!R756-'Приложение №1'!S756</f>
        <v>9640699.1518579908</v>
      </c>
      <c r="U756" s="65">
        <f t="shared" si="462"/>
        <v>11430.497305494371</v>
      </c>
      <c r="V756" s="65">
        <v>1411.2830200640001</v>
      </c>
      <c r="W756" s="126">
        <v>2024</v>
      </c>
      <c r="X756" s="127" t="e">
        <f>+#REF!-'[1]Приложение №1'!$P1554</f>
        <v>#REF!</v>
      </c>
      <c r="Z756" s="63">
        <f>SUM(AA756:AO756)</f>
        <v>25777981.720000003</v>
      </c>
      <c r="AA756" s="64">
        <v>6939898.4786422197</v>
      </c>
      <c r="AB756" s="64">
        <v>2544879.30231024</v>
      </c>
      <c r="AC756" s="64">
        <v>0</v>
      </c>
      <c r="AD756" s="64">
        <v>0</v>
      </c>
      <c r="AE756" s="64">
        <v>0</v>
      </c>
      <c r="AF756" s="64"/>
      <c r="AG756" s="64">
        <v>229105.55551800001</v>
      </c>
      <c r="AH756" s="64">
        <v>0</v>
      </c>
      <c r="AI756" s="64">
        <v>13056187.249110602</v>
      </c>
      <c r="AJ756" s="64">
        <v>0</v>
      </c>
      <c r="AK756" s="64">
        <v>0</v>
      </c>
      <c r="AL756" s="64">
        <v>0</v>
      </c>
      <c r="AM756" s="64">
        <v>2252195.9907</v>
      </c>
      <c r="AN756" s="65">
        <v>257779.81719999999</v>
      </c>
      <c r="AO756" s="66">
        <v>497935.32651894004</v>
      </c>
      <c r="AP756" s="128">
        <f>+N756-'Приложение №2'!E765</f>
        <v>0</v>
      </c>
      <c r="AQ756" s="127">
        <f>1232836.21</f>
        <v>1232836.21</v>
      </c>
      <c r="AR756" s="25">
        <f t="shared" si="518"/>
        <v>269142.3</v>
      </c>
      <c r="AS756" s="25">
        <f>+(K756*10.5+L756*21)*12*30</f>
        <v>9499140</v>
      </c>
      <c r="AT756" s="127">
        <f t="shared" si="465"/>
        <v>0</v>
      </c>
      <c r="AU756" s="127">
        <f>+P756-'[6]Приложение №1'!$P691</f>
        <v>0</v>
      </c>
      <c r="AV756" s="127">
        <f>+Q756-'[6]Приложение №1'!$Q691</f>
        <v>0</v>
      </c>
      <c r="AW756" s="88">
        <f t="shared" si="481"/>
        <v>21340738.469357993</v>
      </c>
      <c r="AX756" s="64">
        <v>6939898.4786422197</v>
      </c>
      <c r="AY756" s="64"/>
      <c r="AZ756" s="64">
        <v>0</v>
      </c>
      <c r="BA756" s="64">
        <v>0</v>
      </c>
      <c r="BB756" s="64">
        <v>0</v>
      </c>
      <c r="BC756" s="64"/>
      <c r="BD756" s="64">
        <v>229105.55551800001</v>
      </c>
      <c r="BE756" s="64">
        <v>0</v>
      </c>
      <c r="BF756" s="64">
        <v>14014962.836657992</v>
      </c>
      <c r="BG756" s="64">
        <v>0</v>
      </c>
      <c r="BH756" s="64">
        <v>0</v>
      </c>
      <c r="BI756" s="64">
        <v>0</v>
      </c>
      <c r="BJ756" s="64"/>
      <c r="BK756" s="65"/>
      <c r="BL756" s="66">
        <v>156771.59853977998</v>
      </c>
    </row>
    <row r="757" spans="1:64" x14ac:dyDescent="0.25">
      <c r="A757" s="141">
        <f t="shared" si="503"/>
        <v>738</v>
      </c>
      <c r="B757" s="142">
        <f t="shared" si="504"/>
        <v>280</v>
      </c>
      <c r="C757" s="62" t="s">
        <v>58</v>
      </c>
      <c r="D757" s="62" t="s">
        <v>989</v>
      </c>
      <c r="E757" s="123">
        <v>1985</v>
      </c>
      <c r="F757" s="123">
        <v>1985</v>
      </c>
      <c r="G757" s="123" t="s">
        <v>43</v>
      </c>
      <c r="H757" s="123">
        <v>5</v>
      </c>
      <c r="I757" s="123">
        <v>1</v>
      </c>
      <c r="J757" s="64">
        <v>3037</v>
      </c>
      <c r="K757" s="64">
        <v>2290.6999999999998</v>
      </c>
      <c r="L757" s="64">
        <v>275.7</v>
      </c>
      <c r="M757" s="124">
        <v>125</v>
      </c>
      <c r="N757" s="63">
        <f t="shared" si="502"/>
        <v>7269616.2805000003</v>
      </c>
      <c r="O757" s="64"/>
      <c r="P757" s="65">
        <v>1004622.6900000002</v>
      </c>
      <c r="Q757" s="65"/>
      <c r="R757" s="65">
        <f t="shared" ref="R757:R774" si="519">+AQ757+AR757</f>
        <v>878823.55</v>
      </c>
      <c r="S757" s="65">
        <f t="shared" ref="S757:S777" si="520">+AS757</f>
        <v>5049067.25</v>
      </c>
      <c r="T757" s="65">
        <f>+'Приложение №2'!E766-'Приложение №1'!P757-'Приложение №1'!R757-'Приложение №1'!S757</f>
        <v>337102.79050000012</v>
      </c>
      <c r="U757" s="65">
        <f t="shared" si="462"/>
        <v>3173.5348498275639</v>
      </c>
      <c r="V757" s="65">
        <v>1412.2830200640001</v>
      </c>
      <c r="W757" s="126">
        <v>2024</v>
      </c>
      <c r="X757" s="127" t="e">
        <f>+#REF!-'[1]Приложение №1'!$P1228</f>
        <v>#REF!</v>
      </c>
      <c r="Z757" s="63">
        <f>SUM(AA757:AO757)</f>
        <v>25580367.880000003</v>
      </c>
      <c r="AA757" s="64">
        <v>6886697.2620973801</v>
      </c>
      <c r="AB757" s="64">
        <v>2525370.28109184</v>
      </c>
      <c r="AC757" s="64">
        <v>0</v>
      </c>
      <c r="AD757" s="64">
        <v>0</v>
      </c>
      <c r="AE757" s="64">
        <v>0</v>
      </c>
      <c r="AF757" s="64"/>
      <c r="AG757" s="64">
        <v>227349.22999992</v>
      </c>
      <c r="AH757" s="64">
        <v>0</v>
      </c>
      <c r="AI757" s="64">
        <v>12956098.599171</v>
      </c>
      <c r="AJ757" s="64">
        <v>0</v>
      </c>
      <c r="AK757" s="64">
        <v>0</v>
      </c>
      <c r="AL757" s="64">
        <v>0</v>
      </c>
      <c r="AM757" s="64">
        <v>2234930.6713</v>
      </c>
      <c r="AN757" s="65">
        <v>255803.67880000002</v>
      </c>
      <c r="AO757" s="66">
        <v>494118.15753986</v>
      </c>
      <c r="AP757" s="128">
        <f>+N757-'Приложение №2'!E766</f>
        <v>0</v>
      </c>
      <c r="AQ757" s="23">
        <f>1361227.32-786792.68</f>
        <v>574434.64</v>
      </c>
      <c r="AR757" s="25">
        <f t="shared" si="518"/>
        <v>304388.90999999997</v>
      </c>
      <c r="AS757" s="25">
        <f>+(K757*10.5+L757*21)*12*30-5694070.75</f>
        <v>5049067.25</v>
      </c>
      <c r="AT757" s="127">
        <f t="shared" si="465"/>
        <v>0</v>
      </c>
      <c r="AU757" s="127">
        <f>+P757-'[6]Приложение №1'!$P692</f>
        <v>0</v>
      </c>
      <c r="AV757" s="127">
        <f>+Q757-'[6]Приложение №1'!$Q692</f>
        <v>0</v>
      </c>
      <c r="AW757" s="88">
        <f t="shared" si="481"/>
        <v>7269616.2805000003</v>
      </c>
      <c r="AX757" s="64">
        <v>6886697.2620973801</v>
      </c>
      <c r="AY757" s="64"/>
      <c r="AZ757" s="64">
        <v>0</v>
      </c>
      <c r="BA757" s="64">
        <v>0</v>
      </c>
      <c r="BB757" s="64">
        <v>0</v>
      </c>
      <c r="BC757" s="64"/>
      <c r="BD757" s="64">
        <v>227349.22999992</v>
      </c>
      <c r="BE757" s="64">
        <v>0</v>
      </c>
      <c r="BF757" s="64"/>
      <c r="BG757" s="64">
        <v>0</v>
      </c>
      <c r="BH757" s="64">
        <v>0</v>
      </c>
      <c r="BI757" s="64">
        <v>0</v>
      </c>
      <c r="BJ757" s="64"/>
      <c r="BK757" s="65"/>
      <c r="BL757" s="66">
        <v>155569.78840269998</v>
      </c>
    </row>
    <row r="758" spans="1:64" x14ac:dyDescent="0.25">
      <c r="A758" s="141">
        <f t="shared" si="503"/>
        <v>739</v>
      </c>
      <c r="B758" s="142">
        <f t="shared" si="504"/>
        <v>281</v>
      </c>
      <c r="C758" s="62" t="s">
        <v>58</v>
      </c>
      <c r="D758" s="62" t="s">
        <v>984</v>
      </c>
      <c r="E758" s="123">
        <v>1987</v>
      </c>
      <c r="F758" s="123">
        <v>1987</v>
      </c>
      <c r="G758" s="123" t="s">
        <v>43</v>
      </c>
      <c r="H758" s="123">
        <v>5</v>
      </c>
      <c r="I758" s="123">
        <v>1</v>
      </c>
      <c r="J758" s="64">
        <v>2928.7</v>
      </c>
      <c r="K758" s="64">
        <v>2372.1</v>
      </c>
      <c r="L758" s="64">
        <v>221.2</v>
      </c>
      <c r="M758" s="124">
        <v>125</v>
      </c>
      <c r="N758" s="95">
        <f t="shared" ref="N758" si="521">+P758+Q758+R758+S758+T758</f>
        <v>6508078.4003988793</v>
      </c>
      <c r="O758" s="64"/>
      <c r="P758" s="65">
        <f>+'Приложение №2'!E767-'Приложение №1'!R758-'Приложение №1'!S758</f>
        <v>2873309.1129322117</v>
      </c>
      <c r="Q758" s="65"/>
      <c r="R758" s="65">
        <f>+AR758</f>
        <v>287079</v>
      </c>
      <c r="S758" s="65">
        <f t="shared" si="520"/>
        <v>3347690.2874666676</v>
      </c>
      <c r="T758" s="65">
        <f>+'Приложение №2'!E767-'Приложение №1'!P758-'Приложение №1'!Q758-'Приложение №1'!R758-'Приложение №1'!S758</f>
        <v>0</v>
      </c>
      <c r="U758" s="64">
        <f t="shared" ref="U758:V759" si="522">$N758/($K758+$L758)</f>
        <v>2509.574056375614</v>
      </c>
      <c r="V758" s="64">
        <f t="shared" si="522"/>
        <v>2509.574056375614</v>
      </c>
      <c r="W758" s="126">
        <v>2024</v>
      </c>
      <c r="X758" s="127" t="e">
        <f>+#REF!-'[1]Приложение №1'!$P1806</f>
        <v>#REF!</v>
      </c>
      <c r="Z758" s="63">
        <f t="shared" ref="Z758" si="523">SUM(AA758:AO758)</f>
        <v>25208513.880000003</v>
      </c>
      <c r="AA758" s="64">
        <v>6786587.4460183801</v>
      </c>
      <c r="AB758" s="64">
        <v>2488659.7441826407</v>
      </c>
      <c r="AC758" s="64">
        <v>0</v>
      </c>
      <c r="AD758" s="64">
        <v>0</v>
      </c>
      <c r="AE758" s="64">
        <v>0</v>
      </c>
      <c r="AF758" s="64"/>
      <c r="AG758" s="64">
        <v>224044.32360912001</v>
      </c>
      <c r="AH758" s="64">
        <v>0</v>
      </c>
      <c r="AI758" s="64">
        <v>12767759.748387001</v>
      </c>
      <c r="AJ758" s="64">
        <v>0</v>
      </c>
      <c r="AK758" s="64">
        <v>0</v>
      </c>
      <c r="AL758" s="64">
        <v>0</v>
      </c>
      <c r="AM758" s="64">
        <v>2202442.1663000002</v>
      </c>
      <c r="AN758" s="65">
        <v>252085.13879999999</v>
      </c>
      <c r="AO758" s="66">
        <v>486935.3127028601</v>
      </c>
      <c r="AP758" s="128">
        <f>+N758-'Приложение №2'!E767</f>
        <v>0</v>
      </c>
      <c r="AQ758" s="127">
        <f>1039812.33-R442</f>
        <v>752733.33</v>
      </c>
      <c r="AR758" s="25">
        <f t="shared" ref="AR758" si="524">+(K758*10+L758*20)*12*0.85</f>
        <v>287079</v>
      </c>
      <c r="AS758" s="25">
        <f>+(K758*10+L758*20)*12*30-S442</f>
        <v>3347690.2874666676</v>
      </c>
      <c r="AT758" s="127">
        <f t="shared" si="465"/>
        <v>0</v>
      </c>
      <c r="AU758" s="127">
        <f>+P758-'[6]Приложение №1'!$P745</f>
        <v>2873309.1129322117</v>
      </c>
      <c r="AV758" s="127">
        <f>+Q758-'[6]Приложение №1'!$Q745</f>
        <v>0</v>
      </c>
      <c r="AW758" s="63">
        <f t="shared" si="481"/>
        <v>6508078.4003988793</v>
      </c>
      <c r="AX758" s="64"/>
      <c r="AY758" s="64"/>
      <c r="AZ758" s="64"/>
      <c r="BA758" s="64"/>
      <c r="BB758" s="64"/>
      <c r="BC758" s="64"/>
      <c r="BD758" s="64"/>
      <c r="BE758" s="64">
        <v>0</v>
      </c>
      <c r="BF758" s="64">
        <v>6282061.3226499995</v>
      </c>
      <c r="BG758" s="64">
        <v>0</v>
      </c>
      <c r="BH758" s="64">
        <v>0</v>
      </c>
      <c r="BI758" s="64">
        <v>0</v>
      </c>
      <c r="BJ758" s="64"/>
      <c r="BK758" s="65"/>
      <c r="BL758" s="66">
        <v>226017.07774887996</v>
      </c>
    </row>
    <row r="759" spans="1:64" x14ac:dyDescent="0.25">
      <c r="A759" s="141">
        <f t="shared" si="503"/>
        <v>740</v>
      </c>
      <c r="B759" s="142">
        <f t="shared" si="504"/>
        <v>282</v>
      </c>
      <c r="C759" s="62" t="s">
        <v>59</v>
      </c>
      <c r="D759" s="62" t="s">
        <v>1186</v>
      </c>
      <c r="E759" s="123" t="s">
        <v>119</v>
      </c>
      <c r="F759" s="123">
        <v>1987</v>
      </c>
      <c r="G759" s="123" t="s">
        <v>43</v>
      </c>
      <c r="H759" s="123">
        <v>5</v>
      </c>
      <c r="I759" s="123">
        <v>5</v>
      </c>
      <c r="J759" s="64">
        <v>5624.44</v>
      </c>
      <c r="K759" s="64">
        <v>5146.5</v>
      </c>
      <c r="L759" s="64">
        <v>235.4</v>
      </c>
      <c r="M759" s="124">
        <v>197</v>
      </c>
      <c r="N759" s="95">
        <v>39105310.514938325</v>
      </c>
      <c r="O759" s="64"/>
      <c r="P759" s="65"/>
      <c r="Q759" s="65"/>
      <c r="R759" s="65">
        <v>751721.5686</v>
      </c>
      <c r="S759" s="65">
        <v>26531349.48</v>
      </c>
      <c r="T759" s="65">
        <f>N759-R759-S759</f>
        <v>11822239.466338325</v>
      </c>
      <c r="U759" s="64">
        <f t="shared" si="522"/>
        <v>7266.078989750521</v>
      </c>
      <c r="V759" s="64">
        <f t="shared" si="522"/>
        <v>7266.078989750521</v>
      </c>
      <c r="W759" s="126">
        <v>2024</v>
      </c>
      <c r="X759" s="127"/>
      <c r="Z759" s="63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  <c r="AL759" s="64"/>
      <c r="AM759" s="64"/>
      <c r="AN759" s="65"/>
      <c r="AO759" s="66"/>
      <c r="AP759" s="128"/>
      <c r="AQ759" s="127">
        <v>4312101.95</v>
      </c>
      <c r="AR759" s="25">
        <f>+(K759*13.29+L759*22.52)*12*0.85</f>
        <v>751721.5686</v>
      </c>
      <c r="AS759" s="25">
        <f>+(K759*13.29+L759*22.52)*12*30</f>
        <v>26531349.48</v>
      </c>
      <c r="AT759" s="127"/>
      <c r="AU759" s="127"/>
      <c r="AV759" s="127"/>
      <c r="AW759" s="63">
        <f t="shared" si="481"/>
        <v>39105310.514938325</v>
      </c>
      <c r="AX759" s="64"/>
      <c r="AY759" s="64"/>
      <c r="AZ759" s="64"/>
      <c r="BA759" s="64"/>
      <c r="BB759" s="64"/>
      <c r="BC759" s="64"/>
      <c r="BD759" s="64"/>
      <c r="BE759" s="64"/>
      <c r="BF759" s="64">
        <v>38268456.869918644</v>
      </c>
      <c r="BG759" s="64"/>
      <c r="BH759" s="64"/>
      <c r="BI759" s="64"/>
      <c r="BJ759" s="64"/>
      <c r="BK759" s="65"/>
      <c r="BL759" s="66">
        <v>836853.64501968026</v>
      </c>
    </row>
    <row r="760" spans="1:64" x14ac:dyDescent="0.25">
      <c r="A760" s="141">
        <f t="shared" si="503"/>
        <v>741</v>
      </c>
      <c r="B760" s="142">
        <f t="shared" si="504"/>
        <v>283</v>
      </c>
      <c r="C760" s="62" t="s">
        <v>59</v>
      </c>
      <c r="D760" s="62" t="s">
        <v>990</v>
      </c>
      <c r="E760" s="123">
        <v>2003</v>
      </c>
      <c r="F760" s="123">
        <v>2003</v>
      </c>
      <c r="G760" s="123" t="s">
        <v>43</v>
      </c>
      <c r="H760" s="123">
        <v>6</v>
      </c>
      <c r="I760" s="123">
        <v>2</v>
      </c>
      <c r="J760" s="64">
        <v>4628.5</v>
      </c>
      <c r="K760" s="64">
        <v>3639.6</v>
      </c>
      <c r="L760" s="64">
        <v>0</v>
      </c>
      <c r="M760" s="124">
        <v>142</v>
      </c>
      <c r="N760" s="95">
        <f t="shared" ref="N760:N773" si="525">+P760+Q760+R760+S760+T760</f>
        <v>22010479.830000002</v>
      </c>
      <c r="O760" s="64"/>
      <c r="P760" s="65">
        <v>886090.96180000121</v>
      </c>
      <c r="Q760" s="65"/>
      <c r="R760" s="65">
        <f>+AQ760+AR760</f>
        <v>2164436.5467999997</v>
      </c>
      <c r="S760" s="65">
        <f>+AS760</f>
        <v>17413302.239999998</v>
      </c>
      <c r="T760" s="65">
        <f>+'Приложение №2'!E769-'Приложение №1'!P760-'Приложение №1'!Q760-'Приложение №1'!R760-'Приложение №1'!S760</f>
        <v>1546650.0814000033</v>
      </c>
      <c r="U760" s="64">
        <f t="shared" ref="U760:V773" si="526">$N760/($K760+$L760)</f>
        <v>6047.4996785361036</v>
      </c>
      <c r="V760" s="64">
        <f t="shared" si="526"/>
        <v>6047.4996785361036</v>
      </c>
      <c r="W760" s="126">
        <v>2024</v>
      </c>
      <c r="X760" s="127" t="e">
        <f>+#REF!-'[1]Приложение №1'!$P1641</f>
        <v>#REF!</v>
      </c>
      <c r="Z760" s="63">
        <f t="shared" ref="Z760:Z773" si="527">SUM(AA760:AO760)</f>
        <v>22231583.710000001</v>
      </c>
      <c r="AA760" s="64">
        <v>0</v>
      </c>
      <c r="AB760" s="64">
        <v>0</v>
      </c>
      <c r="AC760" s="64">
        <v>0</v>
      </c>
      <c r="AD760" s="64">
        <v>0</v>
      </c>
      <c r="AE760" s="64">
        <v>0</v>
      </c>
      <c r="AF760" s="64"/>
      <c r="AG760" s="64">
        <v>0</v>
      </c>
      <c r="AH760" s="64">
        <v>0</v>
      </c>
      <c r="AI760" s="64">
        <v>19580245.036745403</v>
      </c>
      <c r="AJ760" s="64">
        <v>0</v>
      </c>
      <c r="AK760" s="64">
        <v>0</v>
      </c>
      <c r="AL760" s="64">
        <v>0</v>
      </c>
      <c r="AM760" s="64">
        <v>2000842.5338999999</v>
      </c>
      <c r="AN760" s="65">
        <v>222315.8371</v>
      </c>
      <c r="AO760" s="66">
        <v>428180.3022546001</v>
      </c>
      <c r="AP760" s="128">
        <f>+N760-'Приложение №2'!E769</f>
        <v>0</v>
      </c>
      <c r="AQ760" s="23">
        <v>1671059.65</v>
      </c>
      <c r="AR760" s="25">
        <f>+(K760*13.29+L760*22.52)*12*0.85</f>
        <v>493376.89679999993</v>
      </c>
      <c r="AS760" s="25">
        <f>+(K760*13.29+L760*22.52)*12*30</f>
        <v>17413302.239999998</v>
      </c>
      <c r="AT760" s="127">
        <f t="shared" ref="AT760:AT773" si="528">+S760-AS760</f>
        <v>0</v>
      </c>
      <c r="AU760" s="127">
        <f>+P760-'[6]Приложение №1'!$P421</f>
        <v>0</v>
      </c>
      <c r="AV760" s="127">
        <f>+Q760-'[6]Приложение №1'!$Q421</f>
        <v>0</v>
      </c>
      <c r="AW760" s="63">
        <f t="shared" si="481"/>
        <v>22010479.830000002</v>
      </c>
      <c r="AX760" s="64">
        <v>0</v>
      </c>
      <c r="AY760" s="64">
        <v>0</v>
      </c>
      <c r="AZ760" s="64">
        <v>0</v>
      </c>
      <c r="BA760" s="64">
        <v>0</v>
      </c>
      <c r="BB760" s="64">
        <v>0</v>
      </c>
      <c r="BC760" s="64"/>
      <c r="BD760" s="64"/>
      <c r="BE760" s="64">
        <v>0</v>
      </c>
      <c r="BF760" s="64">
        <v>21539455.561638001</v>
      </c>
      <c r="BG760" s="64">
        <v>0</v>
      </c>
      <c r="BH760" s="64">
        <v>0</v>
      </c>
      <c r="BI760" s="64">
        <v>0</v>
      </c>
      <c r="BJ760" s="64"/>
      <c r="BK760" s="65"/>
      <c r="BL760" s="66">
        <v>471024.26836200006</v>
      </c>
    </row>
    <row r="761" spans="1:64" x14ac:dyDescent="0.25">
      <c r="A761" s="141">
        <f t="shared" si="503"/>
        <v>742</v>
      </c>
      <c r="B761" s="142">
        <f t="shared" si="504"/>
        <v>284</v>
      </c>
      <c r="C761" s="62" t="s">
        <v>59</v>
      </c>
      <c r="D761" s="62" t="s">
        <v>991</v>
      </c>
      <c r="E761" s="123">
        <v>1995</v>
      </c>
      <c r="F761" s="123">
        <v>2009</v>
      </c>
      <c r="G761" s="123" t="s">
        <v>43</v>
      </c>
      <c r="H761" s="123">
        <v>5</v>
      </c>
      <c r="I761" s="123">
        <v>2</v>
      </c>
      <c r="J761" s="64">
        <v>2134.1999999999998</v>
      </c>
      <c r="K761" s="64">
        <v>1911.8</v>
      </c>
      <c r="L761" s="64">
        <v>0</v>
      </c>
      <c r="M761" s="124">
        <v>75</v>
      </c>
      <c r="N761" s="95">
        <f t="shared" si="525"/>
        <v>12502160.831344539</v>
      </c>
      <c r="O761" s="64"/>
      <c r="P761" s="65">
        <v>930573.32250000024</v>
      </c>
      <c r="Q761" s="65"/>
      <c r="R761" s="65">
        <f>+AQ761+AR761</f>
        <v>1062863.97</v>
      </c>
      <c r="S761" s="65">
        <f>+AS761</f>
        <v>6882480</v>
      </c>
      <c r="T761" s="65">
        <f>+'Приложение №2'!E770-'Приложение №1'!P761-'Приложение №1'!Q761-'Приложение №1'!R761-'Приложение №1'!S761</f>
        <v>3626243.5388445389</v>
      </c>
      <c r="U761" s="64">
        <f t="shared" si="526"/>
        <v>6539.4710907754679</v>
      </c>
      <c r="V761" s="64">
        <f t="shared" si="526"/>
        <v>6539.4710907754679</v>
      </c>
      <c r="W761" s="126">
        <v>2024</v>
      </c>
      <c r="X761" s="127" t="e">
        <f>+#REF!-'[1]Приложение №1'!$P1486</f>
        <v>#REF!</v>
      </c>
      <c r="Z761" s="63">
        <f t="shared" si="527"/>
        <v>11647646.460000001</v>
      </c>
      <c r="AA761" s="64">
        <v>0</v>
      </c>
      <c r="AB761" s="64">
        <v>0</v>
      </c>
      <c r="AC761" s="64">
        <v>0</v>
      </c>
      <c r="AD761" s="64">
        <v>0</v>
      </c>
      <c r="AE761" s="64">
        <v>0</v>
      </c>
      <c r="AF761" s="64"/>
      <c r="AG761" s="64">
        <v>0</v>
      </c>
      <c r="AH761" s="64">
        <v>0</v>
      </c>
      <c r="AI761" s="64">
        <v>10258548.143180402</v>
      </c>
      <c r="AJ761" s="64">
        <v>0</v>
      </c>
      <c r="AK761" s="64">
        <v>0</v>
      </c>
      <c r="AL761" s="64">
        <v>0</v>
      </c>
      <c r="AM761" s="64">
        <v>1048288.1814</v>
      </c>
      <c r="AN761" s="65">
        <v>116476.46460000001</v>
      </c>
      <c r="AO761" s="66">
        <v>224333.67081960003</v>
      </c>
      <c r="AP761" s="128">
        <f>+N761-'Приложение №2'!E770</f>
        <v>0</v>
      </c>
      <c r="AQ761" s="23">
        <v>867860.37</v>
      </c>
      <c r="AR761" s="25">
        <f t="shared" ref="AR761:AR773" si="529">+(K761*10+L761*20)*12*0.85</f>
        <v>195003.6</v>
      </c>
      <c r="AS761" s="25">
        <f>+(K761*10+L761*20)*12*30</f>
        <v>6882480</v>
      </c>
      <c r="AT761" s="127">
        <f t="shared" si="528"/>
        <v>0</v>
      </c>
      <c r="AU761" s="127">
        <f>+P761-'[6]Приложение №1'!$P422</f>
        <v>0</v>
      </c>
      <c r="AV761" s="127">
        <f>+Q761-'[6]Приложение №1'!$Q422</f>
        <v>0</v>
      </c>
      <c r="AW761" s="63">
        <f t="shared" si="481"/>
        <v>12502160.831344539</v>
      </c>
      <c r="AX761" s="64">
        <v>0</v>
      </c>
      <c r="AY761" s="64">
        <v>0</v>
      </c>
      <c r="AZ761" s="64">
        <v>0</v>
      </c>
      <c r="BA761" s="64">
        <v>0</v>
      </c>
      <c r="BB761" s="64">
        <v>0</v>
      </c>
      <c r="BC761" s="64"/>
      <c r="BD761" s="64"/>
      <c r="BE761" s="64">
        <v>0</v>
      </c>
      <c r="BF761" s="64">
        <v>12234614.589553766</v>
      </c>
      <c r="BG761" s="64">
        <v>0</v>
      </c>
      <c r="BH761" s="64">
        <v>0</v>
      </c>
      <c r="BI761" s="64">
        <v>0</v>
      </c>
      <c r="BJ761" s="64"/>
      <c r="BK761" s="65"/>
      <c r="BL761" s="66">
        <v>267546.24179077317</v>
      </c>
    </row>
    <row r="762" spans="1:64" x14ac:dyDescent="0.25">
      <c r="A762" s="141">
        <f t="shared" si="503"/>
        <v>743</v>
      </c>
      <c r="B762" s="142">
        <f t="shared" si="504"/>
        <v>285</v>
      </c>
      <c r="C762" s="62" t="s">
        <v>67</v>
      </c>
      <c r="D762" s="62" t="s">
        <v>858</v>
      </c>
      <c r="E762" s="123">
        <v>1982</v>
      </c>
      <c r="F762" s="123">
        <v>1982</v>
      </c>
      <c r="G762" s="123" t="s">
        <v>43</v>
      </c>
      <c r="H762" s="123">
        <v>5</v>
      </c>
      <c r="I762" s="123">
        <v>1</v>
      </c>
      <c r="J762" s="64">
        <v>982.9</v>
      </c>
      <c r="K762" s="64">
        <v>982.9</v>
      </c>
      <c r="L762" s="64">
        <v>0</v>
      </c>
      <c r="M762" s="124">
        <v>23</v>
      </c>
      <c r="N762" s="95">
        <f t="shared" si="525"/>
        <v>1832846.1297638123</v>
      </c>
      <c r="O762" s="64"/>
      <c r="P762" s="65">
        <v>1398916.8396544</v>
      </c>
      <c r="Q762" s="65"/>
      <c r="R762" s="65">
        <f>+AR762</f>
        <v>100255.8</v>
      </c>
      <c r="S762" s="65">
        <v>0</v>
      </c>
      <c r="T762" s="65">
        <f>+'Приложение №2'!E771-'Приложение №1'!P762-'Приложение №1'!Q762-'Приложение №1'!R762-'Приложение №1'!S762</f>
        <v>333673.49010941229</v>
      </c>
      <c r="U762" s="64">
        <f t="shared" si="526"/>
        <v>1864.7330651783623</v>
      </c>
      <c r="V762" s="64">
        <f t="shared" si="526"/>
        <v>1864.7330651783623</v>
      </c>
      <c r="W762" s="126">
        <v>2024</v>
      </c>
      <c r="X762" s="127" t="e">
        <f>+#REF!-'[1]Приложение №1'!$P1857</f>
        <v>#REF!</v>
      </c>
      <c r="Z762" s="63">
        <f t="shared" si="527"/>
        <v>25846647.639999997</v>
      </c>
      <c r="AA762" s="64">
        <v>3015626.05896552</v>
      </c>
      <c r="AB762" s="64">
        <v>1381996.98965328</v>
      </c>
      <c r="AC762" s="64">
        <v>1398423.8962755599</v>
      </c>
      <c r="AD762" s="64">
        <v>910108.47884880006</v>
      </c>
      <c r="AE762" s="64">
        <v>0</v>
      </c>
      <c r="AF762" s="64"/>
      <c r="AG762" s="64">
        <v>91642.682540640002</v>
      </c>
      <c r="AH762" s="64">
        <v>0</v>
      </c>
      <c r="AI762" s="64">
        <v>7209302.2726031998</v>
      </c>
      <c r="AJ762" s="64">
        <v>0</v>
      </c>
      <c r="AK762" s="64">
        <v>3664064.3373272396</v>
      </c>
      <c r="AL762" s="64">
        <v>4963125.4813509602</v>
      </c>
      <c r="AM762" s="64">
        <v>2458924.8816</v>
      </c>
      <c r="AN762" s="65">
        <v>258466.47640000001</v>
      </c>
      <c r="AO762" s="66">
        <v>494966.08443480008</v>
      </c>
      <c r="AP762" s="128">
        <f>+N762-'Приложение №2'!E771</f>
        <v>0</v>
      </c>
      <c r="AQ762" s="127">
        <f>344430.27-R173</f>
        <v>34340.72000000003</v>
      </c>
      <c r="AR762" s="25">
        <f t="shared" si="529"/>
        <v>100255.8</v>
      </c>
      <c r="AS762" s="25">
        <f>+(K762*10+L762*20)*12*30-S173</f>
        <v>6523.44023618754</v>
      </c>
      <c r="AT762" s="127">
        <f t="shared" si="528"/>
        <v>-6523.44023618754</v>
      </c>
      <c r="AU762" s="127">
        <f>+P762-'[6]Приложение №1'!$P423</f>
        <v>0</v>
      </c>
      <c r="AV762" s="127">
        <f>+Q762-'[6]Приложение №1'!$Q423</f>
        <v>0</v>
      </c>
      <c r="AW762" s="63">
        <f t="shared" si="481"/>
        <v>1832846.1297638123</v>
      </c>
      <c r="AX762" s="64"/>
      <c r="AY762" s="64">
        <v>880894.3</v>
      </c>
      <c r="AZ762" s="64">
        <v>292852.17</v>
      </c>
      <c r="BA762" s="64">
        <v>569808.16</v>
      </c>
      <c r="BB762" s="64">
        <v>0</v>
      </c>
      <c r="BC762" s="64"/>
      <c r="BD762" s="64"/>
      <c r="BE762" s="64">
        <v>0</v>
      </c>
      <c r="BF762" s="71"/>
      <c r="BG762" s="64"/>
      <c r="BH762" s="64"/>
      <c r="BI762" s="64"/>
      <c r="BJ762" s="64"/>
      <c r="BK762" s="65"/>
      <c r="BL762" s="66">
        <v>89291.499763812477</v>
      </c>
    </row>
    <row r="763" spans="1:64" x14ac:dyDescent="0.25">
      <c r="A763" s="141">
        <f t="shared" si="503"/>
        <v>744</v>
      </c>
      <c r="B763" s="142">
        <f t="shared" si="504"/>
        <v>286</v>
      </c>
      <c r="C763" s="62" t="s">
        <v>67</v>
      </c>
      <c r="D763" s="62" t="s">
        <v>859</v>
      </c>
      <c r="E763" s="123">
        <v>1979</v>
      </c>
      <c r="F763" s="123">
        <v>2013</v>
      </c>
      <c r="G763" s="123" t="s">
        <v>43</v>
      </c>
      <c r="H763" s="123">
        <v>4</v>
      </c>
      <c r="I763" s="123">
        <v>2</v>
      </c>
      <c r="J763" s="64">
        <v>1304.3</v>
      </c>
      <c r="K763" s="64">
        <v>1304.3</v>
      </c>
      <c r="L763" s="64">
        <v>0</v>
      </c>
      <c r="M763" s="124">
        <v>47</v>
      </c>
      <c r="N763" s="95">
        <f t="shared" si="525"/>
        <v>8034419.9657033104</v>
      </c>
      <c r="O763" s="64"/>
      <c r="P763" s="65">
        <v>2682675.2085677697</v>
      </c>
      <c r="Q763" s="65"/>
      <c r="R763" s="65">
        <f>+AR763</f>
        <v>133038.6</v>
      </c>
      <c r="S763" s="65">
        <f>+AS763</f>
        <v>4695480</v>
      </c>
      <c r="T763" s="65">
        <f>+'Приложение №2'!E772-'Приложение №1'!P763-'Приложение №1'!Q763-'Приложение №1'!R763-'Приложение №1'!S763</f>
        <v>523226.15713554062</v>
      </c>
      <c r="U763" s="64">
        <f t="shared" si="526"/>
        <v>6159.9478384599488</v>
      </c>
      <c r="V763" s="64">
        <f t="shared" si="526"/>
        <v>6159.9478384599488</v>
      </c>
      <c r="W763" s="126">
        <v>2024</v>
      </c>
      <c r="X763" s="127" t="e">
        <f>+#REF!-'[1]Приложение №1'!$P1474</f>
        <v>#REF!</v>
      </c>
      <c r="Z763" s="63">
        <f t="shared" si="527"/>
        <v>28614187.700000003</v>
      </c>
      <c r="AA763" s="64">
        <v>0</v>
      </c>
      <c r="AB763" s="64">
        <v>0</v>
      </c>
      <c r="AC763" s="64">
        <v>1925825.0481519001</v>
      </c>
      <c r="AD763" s="64">
        <v>1253346.5063616</v>
      </c>
      <c r="AE763" s="64">
        <v>0</v>
      </c>
      <c r="AF763" s="64"/>
      <c r="AG763" s="64">
        <v>0</v>
      </c>
      <c r="AH763" s="64">
        <v>0</v>
      </c>
      <c r="AI763" s="64">
        <v>9928216.292715</v>
      </c>
      <c r="AJ763" s="64">
        <v>0</v>
      </c>
      <c r="AK763" s="64">
        <v>5045928.4281096598</v>
      </c>
      <c r="AL763" s="64">
        <v>6834917.0833343398</v>
      </c>
      <c r="AM763" s="64">
        <v>2793370.4105000002</v>
      </c>
      <c r="AN763" s="65">
        <v>286141.87699999998</v>
      </c>
      <c r="AO763" s="66">
        <v>546442.05382749997</v>
      </c>
      <c r="AP763" s="128">
        <f>+N763-'Приложение №2'!E772</f>
        <v>0</v>
      </c>
      <c r="AQ763" s="127">
        <f>505122.22</f>
        <v>505122.22</v>
      </c>
      <c r="AR763" s="25">
        <f t="shared" si="529"/>
        <v>133038.6</v>
      </c>
      <c r="AS763" s="25">
        <f>+(K763*10+L763*20)*12*30</f>
        <v>4695480</v>
      </c>
      <c r="AT763" s="127">
        <f t="shared" si="528"/>
        <v>0</v>
      </c>
      <c r="AU763" s="127">
        <f>+P763-'[6]Приложение №1'!$P424</f>
        <v>0</v>
      </c>
      <c r="AV763" s="127">
        <f>+Q763-'[6]Приложение №1'!$Q424</f>
        <v>0</v>
      </c>
      <c r="AW763" s="63">
        <f t="shared" si="481"/>
        <v>8034419.9657033095</v>
      </c>
      <c r="AX763" s="64">
        <v>0</v>
      </c>
      <c r="AY763" s="64">
        <v>0</v>
      </c>
      <c r="AZ763" s="64">
        <v>2128126.3097030208</v>
      </c>
      <c r="BA763" s="64"/>
      <c r="BB763" s="64"/>
      <c r="BC763" s="64"/>
      <c r="BD763" s="64"/>
      <c r="BE763" s="64"/>
      <c r="BF763" s="64"/>
      <c r="BG763" s="64"/>
      <c r="BH763" s="64"/>
      <c r="BI763" s="64">
        <v>5673685.3984161094</v>
      </c>
      <c r="BJ763" s="64"/>
      <c r="BK763" s="65"/>
      <c r="BL763" s="66">
        <v>232608.25758417978</v>
      </c>
    </row>
    <row r="764" spans="1:64" x14ac:dyDescent="0.25">
      <c r="A764" s="141">
        <f t="shared" si="503"/>
        <v>745</v>
      </c>
      <c r="B764" s="142">
        <f t="shared" si="504"/>
        <v>287</v>
      </c>
      <c r="C764" s="62" t="s">
        <v>67</v>
      </c>
      <c r="D764" s="62" t="s">
        <v>860</v>
      </c>
      <c r="E764" s="123">
        <v>1979</v>
      </c>
      <c r="F764" s="123">
        <v>1979</v>
      </c>
      <c r="G764" s="123" t="s">
        <v>43</v>
      </c>
      <c r="H764" s="123">
        <v>4</v>
      </c>
      <c r="I764" s="123">
        <v>2</v>
      </c>
      <c r="J764" s="64">
        <v>1251.7</v>
      </c>
      <c r="K764" s="64">
        <v>1251.7</v>
      </c>
      <c r="L764" s="64">
        <v>0</v>
      </c>
      <c r="M764" s="124">
        <v>44</v>
      </c>
      <c r="N764" s="95">
        <f t="shared" si="525"/>
        <v>9688406.258375138</v>
      </c>
      <c r="O764" s="64"/>
      <c r="P764" s="65">
        <v>2843838.4141774648</v>
      </c>
      <c r="Q764" s="65"/>
      <c r="R764" s="65">
        <f>+AR764</f>
        <v>127673.4</v>
      </c>
      <c r="S764" s="65">
        <f>+AS764</f>
        <v>3216138.08</v>
      </c>
      <c r="T764" s="65">
        <f>+'Приложение №2'!E773-'Приложение №1'!P764-'Приложение №1'!Q764-'Приложение №1'!R764-'Приложение №1'!S764</f>
        <v>3500756.3641976733</v>
      </c>
      <c r="U764" s="64">
        <f t="shared" si="526"/>
        <v>7740.198336961842</v>
      </c>
      <c r="V764" s="64">
        <f t="shared" si="526"/>
        <v>7740.198336961842</v>
      </c>
      <c r="W764" s="126">
        <v>2024</v>
      </c>
      <c r="X764" s="127" t="e">
        <f>+#REF!-'[1]Приложение №1'!$P1191</f>
        <v>#REF!</v>
      </c>
      <c r="Z764" s="63">
        <f t="shared" si="527"/>
        <v>10704920.850000001</v>
      </c>
      <c r="AA764" s="64">
        <v>4162366.3452462004</v>
      </c>
      <c r="AB764" s="64">
        <v>1907523.5611068003</v>
      </c>
      <c r="AC764" s="64">
        <v>1930197.0630411</v>
      </c>
      <c r="AD764" s="64">
        <v>1256191.858278</v>
      </c>
      <c r="AE764" s="64">
        <v>0</v>
      </c>
      <c r="AF764" s="64"/>
      <c r="AG764" s="64">
        <v>126491.2857684</v>
      </c>
      <c r="AH764" s="64">
        <v>0</v>
      </c>
      <c r="AI764" s="64"/>
      <c r="AJ764" s="64">
        <v>0</v>
      </c>
      <c r="AK764" s="64"/>
      <c r="AL764" s="64"/>
      <c r="AM764" s="64">
        <v>1009919.3489999999</v>
      </c>
      <c r="AN764" s="65">
        <v>107049.20850000002</v>
      </c>
      <c r="AO764" s="66">
        <v>205182.17905950005</v>
      </c>
      <c r="AP764" s="128">
        <f>+N764-'Приложение №2'!E773</f>
        <v>0</v>
      </c>
      <c r="AQ764" s="127">
        <f>438075.68</f>
        <v>438075.68</v>
      </c>
      <c r="AR764" s="25">
        <f t="shared" si="529"/>
        <v>127673.4</v>
      </c>
      <c r="AS764" s="25">
        <f>+(K764*10+L764*20)*12*30-1289981.92</f>
        <v>3216138.08</v>
      </c>
      <c r="AT764" s="127">
        <f t="shared" si="528"/>
        <v>0</v>
      </c>
      <c r="AU764" s="127">
        <f>+P764-'[6]Приложение №1'!$P425</f>
        <v>0</v>
      </c>
      <c r="AV764" s="127">
        <f>+Q764-'[6]Приложение №1'!$Q425</f>
        <v>0</v>
      </c>
      <c r="AW764" s="63">
        <f t="shared" si="481"/>
        <v>9688406.258375138</v>
      </c>
      <c r="AX764" s="64">
        <v>1130532.8799999999</v>
      </c>
      <c r="AY764" s="64">
        <v>322661.12</v>
      </c>
      <c r="AZ764" s="64">
        <v>2032941.39</v>
      </c>
      <c r="BA764" s="64">
        <v>361992.49</v>
      </c>
      <c r="BB764" s="64">
        <v>0</v>
      </c>
      <c r="BC764" s="64"/>
      <c r="BD764" s="64"/>
      <c r="BE764" s="64">
        <v>0</v>
      </c>
      <c r="BF764" s="64">
        <v>0</v>
      </c>
      <c r="BG764" s="64">
        <v>0</v>
      </c>
      <c r="BH764" s="64">
        <v>0</v>
      </c>
      <c r="BI764" s="64">
        <v>5683076.9400000004</v>
      </c>
      <c r="BJ764" s="64"/>
      <c r="BK764" s="65"/>
      <c r="BL764" s="66">
        <v>157201.43837513844</v>
      </c>
    </row>
    <row r="765" spans="1:64" x14ac:dyDescent="0.25">
      <c r="A765" s="141">
        <f t="shared" si="503"/>
        <v>746</v>
      </c>
      <c r="B765" s="142">
        <f t="shared" si="504"/>
        <v>288</v>
      </c>
      <c r="C765" s="62" t="s">
        <v>67</v>
      </c>
      <c r="D765" s="62" t="s">
        <v>861</v>
      </c>
      <c r="E765" s="123">
        <v>1972</v>
      </c>
      <c r="F765" s="123">
        <v>1972</v>
      </c>
      <c r="G765" s="123" t="s">
        <v>43</v>
      </c>
      <c r="H765" s="123">
        <v>4</v>
      </c>
      <c r="I765" s="123">
        <v>2</v>
      </c>
      <c r="J765" s="64">
        <v>1471.5</v>
      </c>
      <c r="K765" s="64">
        <v>1257.9000000000001</v>
      </c>
      <c r="L765" s="64">
        <v>0</v>
      </c>
      <c r="M765" s="124">
        <v>37</v>
      </c>
      <c r="N765" s="95">
        <f t="shared" si="525"/>
        <v>6648750.9974127999</v>
      </c>
      <c r="O765" s="64"/>
      <c r="P765" s="65">
        <f>331357.312470933+126487.86</f>
        <v>457845.172470933</v>
      </c>
      <c r="Q765" s="65"/>
      <c r="R765" s="65">
        <f t="shared" ref="R765:R773" si="530">+AQ765+AR765</f>
        <v>466035.92</v>
      </c>
      <c r="S765" s="65">
        <f>+AS765</f>
        <v>4528440</v>
      </c>
      <c r="T765" s="65">
        <f>+'Приложение №2'!E774-'Приложение №1'!P765-'Приложение №1'!Q765-'Приложение №1'!R765-'Приложение №1'!S765</f>
        <v>1196429.9049418671</v>
      </c>
      <c r="U765" s="64">
        <f t="shared" si="526"/>
        <v>5285.5958322702909</v>
      </c>
      <c r="V765" s="64">
        <f t="shared" si="526"/>
        <v>5285.5958322702909</v>
      </c>
      <c r="W765" s="126">
        <v>2024</v>
      </c>
      <c r="X765" s="127" t="e">
        <f>+#REF!-'[1]Приложение №1'!$P859</f>
        <v>#REF!</v>
      </c>
      <c r="Z765" s="63">
        <f t="shared" si="527"/>
        <v>16159497.98</v>
      </c>
      <c r="AA765" s="64">
        <v>0</v>
      </c>
      <c r="AB765" s="64">
        <v>0</v>
      </c>
      <c r="AC765" s="64">
        <v>0</v>
      </c>
      <c r="AD765" s="64">
        <v>0</v>
      </c>
      <c r="AE765" s="64">
        <v>0</v>
      </c>
      <c r="AF765" s="64"/>
      <c r="AG765" s="64">
        <v>0</v>
      </c>
      <c r="AH765" s="64">
        <v>0</v>
      </c>
      <c r="AI765" s="64">
        <v>0</v>
      </c>
      <c r="AJ765" s="64">
        <v>0</v>
      </c>
      <c r="AK765" s="64">
        <v>5977461.9471230991</v>
      </c>
      <c r="AL765" s="64">
        <v>8096717.4565498196</v>
      </c>
      <c r="AM765" s="64">
        <v>1615949.7980000002</v>
      </c>
      <c r="AN765" s="65">
        <v>161594.9798</v>
      </c>
      <c r="AO765" s="66">
        <v>307773.79852707998</v>
      </c>
      <c r="AP765" s="128">
        <f>+N765-'Приложение №2'!E774</f>
        <v>0</v>
      </c>
      <c r="AQ765" s="23">
        <f>337730.12</f>
        <v>337730.12</v>
      </c>
      <c r="AR765" s="25">
        <f t="shared" si="529"/>
        <v>128305.8</v>
      </c>
      <c r="AS765" s="25">
        <f>+(K765*10+L765*20)*12*30</f>
        <v>4528440</v>
      </c>
      <c r="AT765" s="127">
        <f t="shared" si="528"/>
        <v>0</v>
      </c>
      <c r="AU765" s="127">
        <f>+P765-'[6]Приложение №1'!$P426</f>
        <v>126487.85999999987</v>
      </c>
      <c r="AV765" s="127">
        <f>+Q765-'[6]Приложение №1'!$Q426</f>
        <v>0</v>
      </c>
      <c r="AW765" s="63">
        <f t="shared" si="481"/>
        <v>6648750.9974127999</v>
      </c>
      <c r="AX765" s="64">
        <v>0</v>
      </c>
      <c r="AY765" s="64">
        <v>0</v>
      </c>
      <c r="AZ765" s="64">
        <v>0</v>
      </c>
      <c r="BA765" s="64">
        <v>0</v>
      </c>
      <c r="BB765" s="64">
        <v>0</v>
      </c>
      <c r="BC765" s="64"/>
      <c r="BD765" s="64"/>
      <c r="BE765" s="64">
        <v>0</v>
      </c>
      <c r="BF765" s="64">
        <v>0</v>
      </c>
      <c r="BG765" s="64">
        <v>0</v>
      </c>
      <c r="BH765" s="64">
        <v>6506467.7260681661</v>
      </c>
      <c r="BI765" s="64"/>
      <c r="BJ765" s="64"/>
      <c r="BK765" s="65"/>
      <c r="BL765" s="66">
        <v>142283.27134463392</v>
      </c>
    </row>
    <row r="766" spans="1:64" x14ac:dyDescent="0.25">
      <c r="A766" s="141">
        <f t="shared" si="503"/>
        <v>747</v>
      </c>
      <c r="B766" s="142">
        <f t="shared" si="504"/>
        <v>289</v>
      </c>
      <c r="C766" s="62" t="s">
        <v>67</v>
      </c>
      <c r="D766" s="62" t="s">
        <v>862</v>
      </c>
      <c r="E766" s="123">
        <v>1975</v>
      </c>
      <c r="F766" s="123">
        <v>2010</v>
      </c>
      <c r="G766" s="123" t="s">
        <v>43</v>
      </c>
      <c r="H766" s="123">
        <v>4</v>
      </c>
      <c r="I766" s="123">
        <v>2</v>
      </c>
      <c r="J766" s="64">
        <v>1415.4</v>
      </c>
      <c r="K766" s="64">
        <v>1415.4</v>
      </c>
      <c r="L766" s="64">
        <v>0</v>
      </c>
      <c r="M766" s="124">
        <v>39</v>
      </c>
      <c r="N766" s="95">
        <f t="shared" si="525"/>
        <v>9102569.4658067226</v>
      </c>
      <c r="O766" s="64"/>
      <c r="P766" s="65">
        <v>1386547.1137890664</v>
      </c>
      <c r="Q766" s="65"/>
      <c r="R766" s="65">
        <f t="shared" si="530"/>
        <v>231788.24</v>
      </c>
      <c r="S766" s="65">
        <f>+AS766</f>
        <v>4466725.7279000003</v>
      </c>
      <c r="T766" s="65">
        <f>+'Приложение №2'!E775-'Приложение №1'!P766-'Приложение №1'!Q766-'Приложение №1'!R766-'Приложение №1'!S766</f>
        <v>3017508.3841176555</v>
      </c>
      <c r="U766" s="64">
        <f t="shared" si="526"/>
        <v>6431.0933063492457</v>
      </c>
      <c r="V766" s="64">
        <f t="shared" si="526"/>
        <v>6431.0933063492457</v>
      </c>
      <c r="W766" s="126">
        <v>2024</v>
      </c>
      <c r="X766" s="127" t="e">
        <f>+#REF!-'[1]Приложение №1'!$P1245</f>
        <v>#REF!</v>
      </c>
      <c r="Z766" s="63">
        <f t="shared" si="527"/>
        <v>29462353.34</v>
      </c>
      <c r="AA766" s="64">
        <v>0</v>
      </c>
      <c r="AB766" s="64">
        <v>0</v>
      </c>
      <c r="AC766" s="64">
        <v>1982909.2719916198</v>
      </c>
      <c r="AD766" s="64">
        <v>1290497.4993876</v>
      </c>
      <c r="AE766" s="64">
        <v>0</v>
      </c>
      <c r="AF766" s="64"/>
      <c r="AG766" s="64">
        <v>0</v>
      </c>
      <c r="AH766" s="64">
        <v>0</v>
      </c>
      <c r="AI766" s="64">
        <v>10222502.889866399</v>
      </c>
      <c r="AJ766" s="64">
        <v>0</v>
      </c>
      <c r="AK766" s="64">
        <v>5195496.9927289803</v>
      </c>
      <c r="AL766" s="64">
        <v>7037513.8477249201</v>
      </c>
      <c r="AM766" s="64">
        <v>2876169.9234000002</v>
      </c>
      <c r="AN766" s="65">
        <v>294623.53340000001</v>
      </c>
      <c r="AO766" s="66">
        <v>562639.38150048</v>
      </c>
      <c r="AP766" s="128">
        <f>+N766-'Приложение №2'!E775</f>
        <v>0</v>
      </c>
      <c r="AQ766" s="23">
        <f>559628.74-472211.3</f>
        <v>87417.44</v>
      </c>
      <c r="AR766" s="25">
        <f t="shared" si="529"/>
        <v>144370.79999999999</v>
      </c>
      <c r="AS766" s="25">
        <f>+(K766*10+L766*20)*12*30-628714.2721</f>
        <v>4466725.7279000003</v>
      </c>
      <c r="AT766" s="127">
        <f t="shared" si="528"/>
        <v>0</v>
      </c>
      <c r="AU766" s="127">
        <f>+P766-'[6]Приложение №1'!$P427</f>
        <v>0</v>
      </c>
      <c r="AV766" s="127">
        <f>+Q766-'[6]Приложение №1'!$Q427</f>
        <v>0</v>
      </c>
      <c r="AW766" s="63">
        <f t="shared" si="481"/>
        <v>9102569.4658067226</v>
      </c>
      <c r="AX766" s="64">
        <v>0</v>
      </c>
      <c r="AY766" s="64">
        <v>0</v>
      </c>
      <c r="AZ766" s="64">
        <v>2428644.2700873055</v>
      </c>
      <c r="BA766" s="64">
        <v>0</v>
      </c>
      <c r="BB766" s="64">
        <v>0</v>
      </c>
      <c r="BC766" s="64"/>
      <c r="BD766" s="64">
        <v>0</v>
      </c>
      <c r="BE766" s="64">
        <v>0</v>
      </c>
      <c r="BF766" s="64">
        <v>0</v>
      </c>
      <c r="BG766" s="64">
        <v>0</v>
      </c>
      <c r="BH766" s="64">
        <v>0</v>
      </c>
      <c r="BI766" s="64">
        <v>6479130.2091511516</v>
      </c>
      <c r="BJ766" s="64"/>
      <c r="BK766" s="65"/>
      <c r="BL766" s="66">
        <v>194794.98656826385</v>
      </c>
    </row>
    <row r="767" spans="1:64" x14ac:dyDescent="0.25">
      <c r="A767" s="141">
        <f t="shared" si="503"/>
        <v>748</v>
      </c>
      <c r="B767" s="142">
        <f t="shared" si="504"/>
        <v>290</v>
      </c>
      <c r="C767" s="62" t="s">
        <v>67</v>
      </c>
      <c r="D767" s="62" t="s">
        <v>1059</v>
      </c>
      <c r="E767" s="123">
        <v>1989</v>
      </c>
      <c r="F767" s="123">
        <v>2013</v>
      </c>
      <c r="G767" s="123" t="s">
        <v>43</v>
      </c>
      <c r="H767" s="123">
        <v>5</v>
      </c>
      <c r="I767" s="123">
        <v>3</v>
      </c>
      <c r="J767" s="64">
        <v>2867.1</v>
      </c>
      <c r="K767" s="64">
        <v>2862</v>
      </c>
      <c r="L767" s="64">
        <v>0</v>
      </c>
      <c r="M767" s="124">
        <v>82</v>
      </c>
      <c r="N767" s="95">
        <f t="shared" si="525"/>
        <v>7717731.9717803607</v>
      </c>
      <c r="O767" s="64"/>
      <c r="P767" s="65">
        <f>+'Приложение №2'!E776-'Приложение №1'!R767-'Приложение №1'!S767</f>
        <v>6571877.8117803605</v>
      </c>
      <c r="Q767" s="65"/>
      <c r="R767" s="65">
        <f t="shared" si="530"/>
        <v>1145854.1600000001</v>
      </c>
      <c r="S767" s="65"/>
      <c r="T767" s="65"/>
      <c r="U767" s="64">
        <f t="shared" si="526"/>
        <v>2696.6219328373027</v>
      </c>
      <c r="V767" s="64">
        <f t="shared" si="526"/>
        <v>2696.6219328373027</v>
      </c>
      <c r="W767" s="126">
        <v>2024</v>
      </c>
      <c r="X767" s="127" t="e">
        <f>+#REF!-'[1]Приложение №1'!$P1492</f>
        <v>#REF!</v>
      </c>
      <c r="Z767" s="63">
        <f t="shared" si="527"/>
        <v>8541004.8900000006</v>
      </c>
      <c r="AA767" s="64">
        <v>0</v>
      </c>
      <c r="AB767" s="64">
        <v>0</v>
      </c>
      <c r="AC767" s="64">
        <v>4445034.5403198004</v>
      </c>
      <c r="AD767" s="64">
        <v>2892873.6360392398</v>
      </c>
      <c r="AE767" s="64">
        <v>0</v>
      </c>
      <c r="AF767" s="64"/>
      <c r="AG767" s="64">
        <v>0</v>
      </c>
      <c r="AH767" s="64">
        <v>0</v>
      </c>
      <c r="AI767" s="64">
        <v>0</v>
      </c>
      <c r="AJ767" s="64">
        <v>0</v>
      </c>
      <c r="AK767" s="64">
        <v>0</v>
      </c>
      <c r="AL767" s="64">
        <v>0</v>
      </c>
      <c r="AM767" s="64">
        <v>957221.47470000014</v>
      </c>
      <c r="AN767" s="65">
        <v>85410.048900000009</v>
      </c>
      <c r="AO767" s="66">
        <v>160465.19004096001</v>
      </c>
      <c r="AP767" s="128">
        <f>+N767-'Приложение №2'!E776</f>
        <v>0</v>
      </c>
      <c r="AQ767" s="23">
        <v>853930.16</v>
      </c>
      <c r="AR767" s="25">
        <f t="shared" si="529"/>
        <v>291924</v>
      </c>
      <c r="AS767" s="25">
        <f>+(K767*10+L767*20)*12*30</f>
        <v>10303200</v>
      </c>
      <c r="AT767" s="127">
        <f t="shared" si="528"/>
        <v>-10303200</v>
      </c>
      <c r="AU767" s="127">
        <f>+P767-'[6]Приложение №1'!$P428</f>
        <v>0</v>
      </c>
      <c r="AV767" s="127">
        <f>+Q767-'[6]Приложение №1'!$Q428</f>
        <v>0</v>
      </c>
      <c r="AW767" s="63">
        <f t="shared" si="481"/>
        <v>7717731.9717803607</v>
      </c>
      <c r="AX767" s="64">
        <v>0</v>
      </c>
      <c r="AY767" s="64">
        <v>0</v>
      </c>
      <c r="AZ767" s="64">
        <v>1228652.79</v>
      </c>
      <c r="BA767" s="64">
        <v>1678642.03</v>
      </c>
      <c r="BB767" s="64">
        <v>0</v>
      </c>
      <c r="BC767" s="64"/>
      <c r="BD767" s="64"/>
      <c r="BE767" s="64">
        <v>0</v>
      </c>
      <c r="BF767" s="64">
        <v>3803871.23</v>
      </c>
      <c r="BG767" s="64">
        <v>0</v>
      </c>
      <c r="BH767" s="64">
        <v>0</v>
      </c>
      <c r="BI767" s="64"/>
      <c r="BJ767" s="64"/>
      <c r="BK767" s="65"/>
      <c r="BL767" s="66">
        <v>1006565.9217803602</v>
      </c>
    </row>
    <row r="768" spans="1:64" x14ac:dyDescent="0.25">
      <c r="A768" s="141">
        <f t="shared" si="503"/>
        <v>749</v>
      </c>
      <c r="B768" s="142">
        <f t="shared" si="504"/>
        <v>291</v>
      </c>
      <c r="C768" s="62" t="s">
        <v>67</v>
      </c>
      <c r="D768" s="62" t="s">
        <v>863</v>
      </c>
      <c r="E768" s="123">
        <v>1971</v>
      </c>
      <c r="F768" s="123">
        <v>2012</v>
      </c>
      <c r="G768" s="123" t="s">
        <v>43</v>
      </c>
      <c r="H768" s="123">
        <v>4</v>
      </c>
      <c r="I768" s="123">
        <v>4</v>
      </c>
      <c r="J768" s="64">
        <v>2748.3</v>
      </c>
      <c r="K768" s="64">
        <v>2738.3</v>
      </c>
      <c r="L768" s="64">
        <v>0</v>
      </c>
      <c r="M768" s="124">
        <v>105</v>
      </c>
      <c r="N768" s="95">
        <f t="shared" si="525"/>
        <v>6161823.34667484</v>
      </c>
      <c r="O768" s="64"/>
      <c r="P768" s="65">
        <v>3797418.9970000004</v>
      </c>
      <c r="Q768" s="65"/>
      <c r="R768" s="65">
        <f t="shared" si="530"/>
        <v>1250766.44</v>
      </c>
      <c r="S768" s="65">
        <f>+'Приложение №2'!E777-'Приложение №1'!R768-P768</f>
        <v>1113637.9096748391</v>
      </c>
      <c r="T768" s="65">
        <f>+'Приложение №2'!E777-'Приложение №1'!P768-'Приложение №1'!Q768-'Приложение №1'!R768-'Приложение №1'!S768</f>
        <v>0</v>
      </c>
      <c r="U768" s="64">
        <f t="shared" si="526"/>
        <v>2250.2367697749842</v>
      </c>
      <c r="V768" s="64">
        <f t="shared" si="526"/>
        <v>2250.2367697749842</v>
      </c>
      <c r="W768" s="126">
        <v>2024</v>
      </c>
      <c r="X768" s="127" t="e">
        <f>+#REF!-'[1]Приложение №1'!$P1105</f>
        <v>#REF!</v>
      </c>
      <c r="Z768" s="63">
        <f t="shared" si="527"/>
        <v>62662210.079999991</v>
      </c>
      <c r="AA768" s="64">
        <v>0</v>
      </c>
      <c r="AB768" s="64">
        <v>0</v>
      </c>
      <c r="AC768" s="64">
        <v>4217364.3079906795</v>
      </c>
      <c r="AD768" s="64">
        <v>2744703.5403370801</v>
      </c>
      <c r="AE768" s="64">
        <v>0</v>
      </c>
      <c r="AF768" s="64"/>
      <c r="AG768" s="64">
        <v>0</v>
      </c>
      <c r="AH768" s="64">
        <v>0</v>
      </c>
      <c r="AI768" s="64">
        <v>21741801.005597401</v>
      </c>
      <c r="AJ768" s="64">
        <v>0</v>
      </c>
      <c r="AK768" s="64">
        <v>11050078.731239939</v>
      </c>
      <c r="AL768" s="64">
        <v>14967785.027242739</v>
      </c>
      <c r="AM768" s="64">
        <v>6117201.9047999997</v>
      </c>
      <c r="AN768" s="65">
        <v>626622.10080000001</v>
      </c>
      <c r="AO768" s="66">
        <v>1196653.4619921602</v>
      </c>
      <c r="AP768" s="128">
        <f>+N768-'Приложение №2'!E777</f>
        <v>0</v>
      </c>
      <c r="AQ768" s="23">
        <v>971459.84</v>
      </c>
      <c r="AR768" s="25">
        <f t="shared" si="529"/>
        <v>279306.59999999998</v>
      </c>
      <c r="AS768" s="25">
        <f>+(K768*10+L768*20)*12*30</f>
        <v>9857880</v>
      </c>
      <c r="AT768" s="127">
        <f t="shared" si="528"/>
        <v>-8744242.0903251618</v>
      </c>
      <c r="AU768" s="127">
        <f>+P768-'[6]Приложение №1'!$P429</f>
        <v>0</v>
      </c>
      <c r="AV768" s="127">
        <f>+Q768-'[6]Приложение №1'!$Q429</f>
        <v>0</v>
      </c>
      <c r="AW768" s="63">
        <f t="shared" si="481"/>
        <v>6161823.346674839</v>
      </c>
      <c r="AX768" s="64">
        <v>0</v>
      </c>
      <c r="AY768" s="64">
        <v>0</v>
      </c>
      <c r="AZ768" s="64">
        <v>1076716.6299999999</v>
      </c>
      <c r="BA768" s="64">
        <v>1632309.59</v>
      </c>
      <c r="BB768" s="64">
        <v>0</v>
      </c>
      <c r="BC768" s="64"/>
      <c r="BD768" s="64"/>
      <c r="BE768" s="64">
        <v>0</v>
      </c>
      <c r="BF768" s="64">
        <v>2825101.65</v>
      </c>
      <c r="BG768" s="64">
        <v>0</v>
      </c>
      <c r="BH768" s="64"/>
      <c r="BI768" s="64"/>
      <c r="BJ768" s="64"/>
      <c r="BK768" s="65"/>
      <c r="BL768" s="66">
        <v>627695.47667484009</v>
      </c>
    </row>
    <row r="769" spans="1:64" x14ac:dyDescent="0.25">
      <c r="A769" s="141">
        <f t="shared" si="503"/>
        <v>750</v>
      </c>
      <c r="B769" s="142">
        <f t="shared" si="504"/>
        <v>292</v>
      </c>
      <c r="C769" s="62" t="s">
        <v>67</v>
      </c>
      <c r="D769" s="62" t="s">
        <v>864</v>
      </c>
      <c r="E769" s="123">
        <v>1981</v>
      </c>
      <c r="F769" s="123">
        <v>1981</v>
      </c>
      <c r="G769" s="123" t="s">
        <v>43</v>
      </c>
      <c r="H769" s="123">
        <v>4</v>
      </c>
      <c r="I769" s="123">
        <v>2</v>
      </c>
      <c r="J769" s="64">
        <v>1312.5</v>
      </c>
      <c r="K769" s="64">
        <v>1312.5</v>
      </c>
      <c r="L769" s="64">
        <v>0</v>
      </c>
      <c r="M769" s="124">
        <v>60</v>
      </c>
      <c r="N769" s="95">
        <f t="shared" si="525"/>
        <v>8194296.4237568006</v>
      </c>
      <c r="O769" s="64"/>
      <c r="P769" s="65">
        <v>1276378.0712522666</v>
      </c>
      <c r="Q769" s="65"/>
      <c r="R769" s="65">
        <f t="shared" si="530"/>
        <v>169987.72999999998</v>
      </c>
      <c r="S769" s="65">
        <f>+AS769</f>
        <v>4469610.4400000004</v>
      </c>
      <c r="T769" s="65">
        <f>+'Приложение №2'!E778-'Приложение №1'!P769-'Приложение №1'!Q769-'Приложение №1'!R769-'Приложение №1'!S769</f>
        <v>2278320.1825045338</v>
      </c>
      <c r="U769" s="64">
        <f t="shared" si="526"/>
        <v>6243.2734657194669</v>
      </c>
      <c r="V769" s="64">
        <f t="shared" si="526"/>
        <v>6243.2734657194669</v>
      </c>
      <c r="W769" s="126">
        <v>2024</v>
      </c>
      <c r="X769" s="127" t="e">
        <f>+#REF!-'[1]Приложение №1'!$P1675</f>
        <v>#REF!</v>
      </c>
      <c r="Z769" s="63">
        <f t="shared" si="527"/>
        <v>36563550.32</v>
      </c>
      <c r="AA769" s="64">
        <v>4266007.5956097599</v>
      </c>
      <c r="AB769" s="64">
        <v>1955020.1317046401</v>
      </c>
      <c r="AC769" s="64">
        <v>1978258.1947312797</v>
      </c>
      <c r="AD769" s="64">
        <v>1287470.5310543999</v>
      </c>
      <c r="AE769" s="64">
        <v>0</v>
      </c>
      <c r="AF769" s="64"/>
      <c r="AG769" s="64">
        <v>129640.86798431998</v>
      </c>
      <c r="AH769" s="64">
        <v>0</v>
      </c>
      <c r="AI769" s="64">
        <v>10198525.1661216</v>
      </c>
      <c r="AJ769" s="64">
        <v>0</v>
      </c>
      <c r="AK769" s="64">
        <v>5183310.5259751193</v>
      </c>
      <c r="AL769" s="64">
        <v>7021006.7784964805</v>
      </c>
      <c r="AM769" s="64">
        <v>3478479.1008000001</v>
      </c>
      <c r="AN769" s="65">
        <v>365635.50320000004</v>
      </c>
      <c r="AO769" s="66">
        <v>700195.92432240013</v>
      </c>
      <c r="AP769" s="128">
        <f>+N769-'Приложение №2'!E778</f>
        <v>0</v>
      </c>
      <c r="AQ769" s="23">
        <f>461712.25-425599.52</f>
        <v>36112.729999999981</v>
      </c>
      <c r="AR769" s="25">
        <f t="shared" si="529"/>
        <v>133875</v>
      </c>
      <c r="AS769" s="25">
        <f>+(K769*10+L769*20)*12*30-255389.56</f>
        <v>4469610.4400000004</v>
      </c>
      <c r="AT769" s="127">
        <f t="shared" si="528"/>
        <v>0</v>
      </c>
      <c r="AU769" s="127">
        <f>+P769-'[6]Приложение №1'!$P430</f>
        <v>0</v>
      </c>
      <c r="AV769" s="127">
        <f>+Q769-'[6]Приложение №1'!$Q430</f>
        <v>0</v>
      </c>
      <c r="AW769" s="63">
        <f t="shared" si="481"/>
        <v>8194296.4237568006</v>
      </c>
      <c r="AX769" s="64"/>
      <c r="AY769" s="64"/>
      <c r="AZ769" s="64">
        <v>2187835.7883797591</v>
      </c>
      <c r="BA769" s="64"/>
      <c r="BB769" s="64"/>
      <c r="BC769" s="64"/>
      <c r="BD769" s="64"/>
      <c r="BE769" s="64"/>
      <c r="BF769" s="64"/>
      <c r="BG769" s="64"/>
      <c r="BH769" s="64"/>
      <c r="BI769" s="64">
        <v>5831102.6919086454</v>
      </c>
      <c r="BJ769" s="64"/>
      <c r="BK769" s="65"/>
      <c r="BL769" s="66">
        <v>175357.9434683955</v>
      </c>
    </row>
    <row r="770" spans="1:64" x14ac:dyDescent="0.25">
      <c r="A770" s="141">
        <f t="shared" si="503"/>
        <v>751</v>
      </c>
      <c r="B770" s="142">
        <f t="shared" si="504"/>
        <v>293</v>
      </c>
      <c r="C770" s="62" t="s">
        <v>60</v>
      </c>
      <c r="D770" s="62" t="s">
        <v>870</v>
      </c>
      <c r="E770" s="123">
        <v>1987</v>
      </c>
      <c r="F770" s="123">
        <v>2013</v>
      </c>
      <c r="G770" s="123" t="s">
        <v>43</v>
      </c>
      <c r="H770" s="123">
        <v>3</v>
      </c>
      <c r="I770" s="123">
        <v>1</v>
      </c>
      <c r="J770" s="64">
        <v>801.1</v>
      </c>
      <c r="K770" s="64">
        <v>730.3</v>
      </c>
      <c r="L770" s="64">
        <v>0</v>
      </c>
      <c r="M770" s="124">
        <v>20</v>
      </c>
      <c r="N770" s="95">
        <f t="shared" si="525"/>
        <v>1811123.542842</v>
      </c>
      <c r="O770" s="64"/>
      <c r="P770" s="65"/>
      <c r="Q770" s="65"/>
      <c r="R770" s="65">
        <f t="shared" si="530"/>
        <v>370716.75999999995</v>
      </c>
      <c r="S770" s="65">
        <f>+'Приложение №2'!E779-'Приложение №1'!R770</f>
        <v>1440406.782842</v>
      </c>
      <c r="T770" s="65">
        <v>0</v>
      </c>
      <c r="U770" s="64">
        <f t="shared" si="526"/>
        <v>2479.9719880076682</v>
      </c>
      <c r="V770" s="64">
        <f t="shared" si="526"/>
        <v>2479.9719880076682</v>
      </c>
      <c r="W770" s="126">
        <v>2024</v>
      </c>
      <c r="X770" s="127" t="e">
        <f>+#REF!-'[1]Приложение №1'!$P860</f>
        <v>#REF!</v>
      </c>
      <c r="Z770" s="63">
        <f t="shared" si="527"/>
        <v>11533143.700000001</v>
      </c>
      <c r="AA770" s="64">
        <v>2498530.6047538198</v>
      </c>
      <c r="AB770" s="64">
        <v>1521682.50827208</v>
      </c>
      <c r="AC770" s="64">
        <v>0</v>
      </c>
      <c r="AD770" s="64">
        <v>0</v>
      </c>
      <c r="AE770" s="64">
        <v>0</v>
      </c>
      <c r="AF770" s="64"/>
      <c r="AG770" s="64">
        <v>230726.84989368002</v>
      </c>
      <c r="AH770" s="64">
        <v>0</v>
      </c>
      <c r="AI770" s="64">
        <v>0</v>
      </c>
      <c r="AJ770" s="64">
        <v>0</v>
      </c>
      <c r="AK770" s="64">
        <v>5869999.6362147005</v>
      </c>
      <c r="AL770" s="64">
        <v>0</v>
      </c>
      <c r="AM770" s="64">
        <v>1075548.2132000001</v>
      </c>
      <c r="AN770" s="65">
        <v>115331.43699999999</v>
      </c>
      <c r="AO770" s="66">
        <v>221324.45066571998</v>
      </c>
      <c r="AP770" s="128">
        <f>+N770-'Приложение №2'!E779</f>
        <v>0</v>
      </c>
      <c r="AQ770" s="23">
        <f>366713.48-70487.32</f>
        <v>296226.15999999997</v>
      </c>
      <c r="AR770" s="25">
        <f t="shared" si="529"/>
        <v>74490.599999999991</v>
      </c>
      <c r="AS770" s="25">
        <f>+(K770*10+L770*20)*12*30-373794.5</f>
        <v>2255285.5</v>
      </c>
      <c r="AT770" s="127">
        <f t="shared" si="528"/>
        <v>-814878.71715799998</v>
      </c>
      <c r="AU770" s="127">
        <f>+P770-'[6]Приложение №1'!$P437</f>
        <v>-5051149.9263384379</v>
      </c>
      <c r="AV770" s="127">
        <f>+Q770-'[6]Приложение №1'!$Q437</f>
        <v>0</v>
      </c>
      <c r="AW770" s="63">
        <f t="shared" si="481"/>
        <v>1811123.542842</v>
      </c>
      <c r="AX770" s="64"/>
      <c r="AY770" s="64">
        <v>1775821.500432</v>
      </c>
      <c r="AZ770" s="64">
        <v>0</v>
      </c>
      <c r="BA770" s="64">
        <v>0</v>
      </c>
      <c r="BB770" s="64">
        <v>0</v>
      </c>
      <c r="BC770" s="64"/>
      <c r="BD770" s="64"/>
      <c r="BE770" s="64">
        <v>0</v>
      </c>
      <c r="BF770" s="64">
        <v>0</v>
      </c>
      <c r="BG770" s="64">
        <v>0</v>
      </c>
      <c r="BH770" s="64"/>
      <c r="BI770" s="64">
        <v>0</v>
      </c>
      <c r="BJ770" s="64"/>
      <c r="BK770" s="65"/>
      <c r="BL770" s="66">
        <v>35302.042410000002</v>
      </c>
    </row>
    <row r="771" spans="1:64" x14ac:dyDescent="0.25">
      <c r="A771" s="141">
        <f t="shared" si="503"/>
        <v>752</v>
      </c>
      <c r="B771" s="142">
        <f t="shared" si="504"/>
        <v>294</v>
      </c>
      <c r="C771" s="62" t="s">
        <v>60</v>
      </c>
      <c r="D771" s="62" t="s">
        <v>1159</v>
      </c>
      <c r="E771" s="123">
        <v>1989</v>
      </c>
      <c r="F771" s="123">
        <v>2013</v>
      </c>
      <c r="G771" s="123" t="s">
        <v>43</v>
      </c>
      <c r="H771" s="123">
        <v>4</v>
      </c>
      <c r="I771" s="123">
        <v>1</v>
      </c>
      <c r="J771" s="64">
        <v>875.7</v>
      </c>
      <c r="K771" s="64">
        <v>808.7</v>
      </c>
      <c r="L771" s="64">
        <v>67</v>
      </c>
      <c r="M771" s="124">
        <v>23</v>
      </c>
      <c r="N771" s="95">
        <f t="shared" si="525"/>
        <v>3577560.5733999996</v>
      </c>
      <c r="O771" s="64"/>
      <c r="P771" s="65"/>
      <c r="Q771" s="65"/>
      <c r="R771" s="65">
        <f t="shared" si="530"/>
        <v>495536.14</v>
      </c>
      <c r="S771" s="65">
        <f>+'Приложение №2'!E780-'Приложение №1'!R771</f>
        <v>3082024.4333999995</v>
      </c>
      <c r="T771" s="65">
        <v>5.8207660913467407E-11</v>
      </c>
      <c r="U771" s="64">
        <f t="shared" si="526"/>
        <v>4085.3723574283426</v>
      </c>
      <c r="V771" s="64">
        <f t="shared" si="526"/>
        <v>4085.3723574283426</v>
      </c>
      <c r="W771" s="126">
        <v>2024</v>
      </c>
      <c r="X771" s="127" t="e">
        <f>+#REF!-'[1]Приложение №1'!$P1680</f>
        <v>#REF!</v>
      </c>
      <c r="Z771" s="63">
        <f t="shared" si="527"/>
        <v>3689249.02</v>
      </c>
      <c r="AA771" s="64">
        <v>1648298.3059179001</v>
      </c>
      <c r="AB771" s="64">
        <v>761507.33362662012</v>
      </c>
      <c r="AC771" s="64">
        <v>771439.24014654011</v>
      </c>
      <c r="AD771" s="64">
        <v>0</v>
      </c>
      <c r="AE771" s="64">
        <v>0</v>
      </c>
      <c r="AF771" s="64"/>
      <c r="AG771" s="64">
        <v>75038.982825239989</v>
      </c>
      <c r="AH771" s="64">
        <v>0</v>
      </c>
      <c r="AI771" s="64">
        <v>0</v>
      </c>
      <c r="AJ771" s="64">
        <v>0</v>
      </c>
      <c r="AK771" s="64">
        <v>0</v>
      </c>
      <c r="AL771" s="64">
        <v>0</v>
      </c>
      <c r="AM771" s="64">
        <v>324864.33429999999</v>
      </c>
      <c r="AN771" s="65">
        <v>36892.490199999993</v>
      </c>
      <c r="AO771" s="66">
        <v>71208.332983699991</v>
      </c>
      <c r="AP771" s="128">
        <f>+N771-'Приложение №2'!E780</f>
        <v>0</v>
      </c>
      <c r="AQ771" s="23">
        <v>399380.74</v>
      </c>
      <c r="AR771" s="25">
        <f t="shared" si="529"/>
        <v>96155.4</v>
      </c>
      <c r="AS771" s="25">
        <f>+(K771*10+L771*20)*12*30</f>
        <v>3393720</v>
      </c>
      <c r="AT771" s="127">
        <f t="shared" si="528"/>
        <v>-311695.56660000049</v>
      </c>
      <c r="AU771" s="127">
        <f>+P771-'[6]Приложение №1'!$P432</f>
        <v>0</v>
      </c>
      <c r="AV771" s="127">
        <f>+Q771-'[6]Приложение №1'!$Q432</f>
        <v>0</v>
      </c>
      <c r="AW771" s="63">
        <f t="shared" si="481"/>
        <v>3577560.5733999996</v>
      </c>
      <c r="AX771" s="64">
        <v>1767665.6131679998</v>
      </c>
      <c r="AY771" s="64">
        <v>815853.27133800008</v>
      </c>
      <c r="AZ771" s="64">
        <v>842442.90979800001</v>
      </c>
      <c r="BA771" s="64">
        <v>0</v>
      </c>
      <c r="BB771" s="64">
        <v>0</v>
      </c>
      <c r="BC771" s="64"/>
      <c r="BD771" s="64">
        <v>75038.982825239989</v>
      </c>
      <c r="BE771" s="64">
        <v>0</v>
      </c>
      <c r="BF771" s="64">
        <v>0</v>
      </c>
      <c r="BG771" s="64">
        <v>0</v>
      </c>
      <c r="BH771" s="64">
        <v>0</v>
      </c>
      <c r="BI771" s="64">
        <v>0</v>
      </c>
      <c r="BJ771" s="64"/>
      <c r="BK771" s="65"/>
      <c r="BL771" s="66">
        <v>76559.796270759995</v>
      </c>
    </row>
    <row r="772" spans="1:64" x14ac:dyDescent="0.25">
      <c r="A772" s="141">
        <f t="shared" si="503"/>
        <v>753</v>
      </c>
      <c r="B772" s="142">
        <f t="shared" si="504"/>
        <v>295</v>
      </c>
      <c r="C772" s="62" t="s">
        <v>60</v>
      </c>
      <c r="D772" s="62" t="s">
        <v>867</v>
      </c>
      <c r="E772" s="123">
        <v>1993</v>
      </c>
      <c r="F772" s="123">
        <v>2013</v>
      </c>
      <c r="G772" s="123" t="s">
        <v>43</v>
      </c>
      <c r="H772" s="123">
        <v>4</v>
      </c>
      <c r="I772" s="123">
        <v>2</v>
      </c>
      <c r="J772" s="64">
        <v>1957.1</v>
      </c>
      <c r="K772" s="64">
        <v>1782.2</v>
      </c>
      <c r="L772" s="64">
        <v>0</v>
      </c>
      <c r="M772" s="124">
        <v>51</v>
      </c>
      <c r="N772" s="95">
        <f t="shared" si="525"/>
        <v>7768881.3499999996</v>
      </c>
      <c r="O772" s="64"/>
      <c r="P772" s="65">
        <f>+'Приложение №2'!E781-'Приложение №1'!R772-'Приложение №1'!S772</f>
        <v>489303.72999999952</v>
      </c>
      <c r="Q772" s="65"/>
      <c r="R772" s="65">
        <f t="shared" si="530"/>
        <v>863657.62</v>
      </c>
      <c r="S772" s="65">
        <f>+AS772</f>
        <v>6415920</v>
      </c>
      <c r="T772" s="65">
        <f>+'Приложение №2'!E781-'Приложение №1'!P772-'Приложение №1'!Q772-'Приложение №1'!R772-'Приложение №1'!S772</f>
        <v>0</v>
      </c>
      <c r="U772" s="64">
        <f t="shared" si="526"/>
        <v>4359.1523678599478</v>
      </c>
      <c r="V772" s="64">
        <f t="shared" si="526"/>
        <v>4359.1523678599478</v>
      </c>
      <c r="W772" s="126">
        <v>2024</v>
      </c>
      <c r="X772" s="127" t="e">
        <f>+#REF!-'[1]Приложение №1'!$P1251</f>
        <v>#REF!</v>
      </c>
      <c r="Z772" s="63">
        <f t="shared" si="527"/>
        <v>9192230.629999999</v>
      </c>
      <c r="AA772" s="64">
        <v>3604821.641694</v>
      </c>
      <c r="AB772" s="64">
        <v>1665413.416611</v>
      </c>
      <c r="AC772" s="64">
        <v>1687134.4693795198</v>
      </c>
      <c r="AD772" s="64">
        <v>1089849.3568830001</v>
      </c>
      <c r="AE772" s="64">
        <v>0</v>
      </c>
      <c r="AF772" s="64"/>
      <c r="AG772" s="64">
        <v>0</v>
      </c>
      <c r="AH772" s="64">
        <v>0</v>
      </c>
      <c r="AI772" s="64">
        <v>0</v>
      </c>
      <c r="AJ772" s="64">
        <v>0</v>
      </c>
      <c r="AK772" s="64">
        <v>0</v>
      </c>
      <c r="AL772" s="64">
        <v>0</v>
      </c>
      <c r="AM772" s="64">
        <v>877113.06050000002</v>
      </c>
      <c r="AN772" s="65">
        <v>91922.306299999997</v>
      </c>
      <c r="AO772" s="66">
        <v>175976.37863247999</v>
      </c>
      <c r="AP772" s="128">
        <f>+N772-'Приложение №2'!E781</f>
        <v>0</v>
      </c>
      <c r="AQ772" s="23">
        <v>681873.22</v>
      </c>
      <c r="AR772" s="25">
        <f t="shared" si="529"/>
        <v>181784.4</v>
      </c>
      <c r="AS772" s="25">
        <f>+(K772*10+L772*20)*12*30</f>
        <v>6415920</v>
      </c>
      <c r="AT772" s="127">
        <f t="shared" si="528"/>
        <v>0</v>
      </c>
      <c r="AU772" s="127">
        <f>+P772-'[6]Приложение №1'!$P434</f>
        <v>0</v>
      </c>
      <c r="AV772" s="127">
        <f>+Q772-'[6]Приложение №1'!$Q434</f>
        <v>0</v>
      </c>
      <c r="AW772" s="63">
        <f t="shared" si="481"/>
        <v>7768881.3499999996</v>
      </c>
      <c r="AX772" s="64">
        <v>3912372.017862</v>
      </c>
      <c r="AY772" s="64">
        <v>1821795.805494</v>
      </c>
      <c r="AZ772" s="64">
        <v>1868459.465754</v>
      </c>
      <c r="BA772" s="64"/>
      <c r="BB772" s="64">
        <v>0</v>
      </c>
      <c r="BC772" s="64"/>
      <c r="BD772" s="64"/>
      <c r="BE772" s="64">
        <v>0</v>
      </c>
      <c r="BF772" s="64">
        <v>0</v>
      </c>
      <c r="BG772" s="64">
        <v>0</v>
      </c>
      <c r="BH772" s="64">
        <v>0</v>
      </c>
      <c r="BI772" s="64">
        <v>0</v>
      </c>
      <c r="BJ772" s="64"/>
      <c r="BK772" s="65"/>
      <c r="BL772" s="66">
        <v>166254.06088999999</v>
      </c>
    </row>
    <row r="773" spans="1:64" x14ac:dyDescent="0.25">
      <c r="A773" s="141">
        <f t="shared" si="503"/>
        <v>754</v>
      </c>
      <c r="B773" s="142">
        <f t="shared" si="504"/>
        <v>296</v>
      </c>
      <c r="C773" s="62" t="s">
        <v>60</v>
      </c>
      <c r="D773" s="62" t="s">
        <v>868</v>
      </c>
      <c r="E773" s="123">
        <v>1995</v>
      </c>
      <c r="F773" s="123">
        <v>2013</v>
      </c>
      <c r="G773" s="123" t="s">
        <v>43</v>
      </c>
      <c r="H773" s="123">
        <v>5</v>
      </c>
      <c r="I773" s="123">
        <v>3</v>
      </c>
      <c r="J773" s="64">
        <v>3373.2</v>
      </c>
      <c r="K773" s="64">
        <v>2966.3</v>
      </c>
      <c r="L773" s="64">
        <v>0</v>
      </c>
      <c r="M773" s="124">
        <v>107</v>
      </c>
      <c r="N773" s="95">
        <f t="shared" si="525"/>
        <v>10164042.109999999</v>
      </c>
      <c r="O773" s="64"/>
      <c r="P773" s="65"/>
      <c r="Q773" s="65"/>
      <c r="R773" s="65">
        <f t="shared" si="530"/>
        <v>1643881.3900000001</v>
      </c>
      <c r="S773" s="65">
        <f>+'Приложение №2'!E782-'Приложение №1'!R773</f>
        <v>8520160.7199999988</v>
      </c>
      <c r="T773" s="65">
        <v>0</v>
      </c>
      <c r="U773" s="64">
        <f t="shared" si="526"/>
        <v>3426.505110744024</v>
      </c>
      <c r="V773" s="64">
        <f t="shared" si="526"/>
        <v>3426.505110744024</v>
      </c>
      <c r="W773" s="126">
        <v>2024</v>
      </c>
      <c r="X773" s="127" t="e">
        <f>+#REF!-'[1]Приложение №1'!$P1252</f>
        <v>#REF!</v>
      </c>
      <c r="Z773" s="63">
        <f t="shared" si="527"/>
        <v>12550430.99</v>
      </c>
      <c r="AA773" s="64">
        <v>6235881.2519148607</v>
      </c>
      <c r="AB773" s="64">
        <v>2880952.6065108599</v>
      </c>
      <c r="AC773" s="64">
        <v>0</v>
      </c>
      <c r="AD773" s="64">
        <v>1885300.26106884</v>
      </c>
      <c r="AE773" s="64">
        <v>0</v>
      </c>
      <c r="AF773" s="64"/>
      <c r="AG773" s="64">
        <v>0</v>
      </c>
      <c r="AH773" s="64">
        <v>0</v>
      </c>
      <c r="AI773" s="64">
        <v>0</v>
      </c>
      <c r="AJ773" s="64">
        <v>0</v>
      </c>
      <c r="AK773" s="64">
        <v>0</v>
      </c>
      <c r="AL773" s="64">
        <v>0</v>
      </c>
      <c r="AM773" s="64">
        <v>1182198.1705</v>
      </c>
      <c r="AN773" s="65">
        <v>125504.30989999999</v>
      </c>
      <c r="AO773" s="66">
        <v>240594.39010543999</v>
      </c>
      <c r="AP773" s="128">
        <f>+N773-'Приложение №2'!E782</f>
        <v>0</v>
      </c>
      <c r="AQ773" s="23">
        <v>1341318.79</v>
      </c>
      <c r="AR773" s="25">
        <f t="shared" si="529"/>
        <v>302562.59999999998</v>
      </c>
      <c r="AS773" s="25">
        <f>+(K773*10+L773*20)*12*30</f>
        <v>10678680</v>
      </c>
      <c r="AT773" s="127">
        <f t="shared" si="528"/>
        <v>-2158519.2800000012</v>
      </c>
      <c r="AU773" s="127">
        <f>+P773-'[6]Приложение №1'!$P435</f>
        <v>0</v>
      </c>
      <c r="AV773" s="127">
        <f>+Q773-'[6]Приложение №1'!$Q435</f>
        <v>0</v>
      </c>
      <c r="AW773" s="63">
        <f t="shared" si="481"/>
        <v>10164042.109999999</v>
      </c>
      <c r="AX773" s="64">
        <v>6784576.1506739995</v>
      </c>
      <c r="AY773" s="64">
        <v>3161955.4581719995</v>
      </c>
      <c r="AZ773" s="64">
        <v>0</v>
      </c>
      <c r="BA773" s="64"/>
      <c r="BB773" s="64">
        <v>0</v>
      </c>
      <c r="BC773" s="64"/>
      <c r="BD773" s="64"/>
      <c r="BE773" s="64">
        <v>0</v>
      </c>
      <c r="BF773" s="64">
        <v>0</v>
      </c>
      <c r="BG773" s="64">
        <v>0</v>
      </c>
      <c r="BH773" s="64">
        <v>0</v>
      </c>
      <c r="BI773" s="64">
        <v>0</v>
      </c>
      <c r="BJ773" s="64"/>
      <c r="BK773" s="65"/>
      <c r="BL773" s="66">
        <v>217510.50115400003</v>
      </c>
    </row>
    <row r="774" spans="1:64" s="74" customFormat="1" x14ac:dyDescent="0.25">
      <c r="A774" s="141">
        <f t="shared" si="503"/>
        <v>755</v>
      </c>
      <c r="B774" s="142">
        <f t="shared" si="504"/>
        <v>297</v>
      </c>
      <c r="C774" s="62" t="s">
        <v>136</v>
      </c>
      <c r="D774" s="62" t="s">
        <v>878</v>
      </c>
      <c r="E774" s="123" t="s">
        <v>121</v>
      </c>
      <c r="F774" s="123" t="s">
        <v>121</v>
      </c>
      <c r="G774" s="123" t="s">
        <v>43</v>
      </c>
      <c r="H774" s="123" t="s">
        <v>105</v>
      </c>
      <c r="I774" s="123" t="s">
        <v>105</v>
      </c>
      <c r="J774" s="64">
        <v>2120.65</v>
      </c>
      <c r="K774" s="64">
        <v>1602.1</v>
      </c>
      <c r="L774" s="64">
        <v>58.3</v>
      </c>
      <c r="M774" s="124">
        <v>76</v>
      </c>
      <c r="N774" s="63">
        <f t="shared" si="502"/>
        <v>10362960.927733265</v>
      </c>
      <c r="O774" s="64">
        <v>0</v>
      </c>
      <c r="P774" s="65">
        <v>1061810.4948814395</v>
      </c>
      <c r="Q774" s="65">
        <v>0</v>
      </c>
      <c r="R774" s="65">
        <f t="shared" si="519"/>
        <v>0</v>
      </c>
      <c r="S774" s="65">
        <f t="shared" si="520"/>
        <v>1206187.6791120786</v>
      </c>
      <c r="T774" s="65">
        <f>+'Приложение №2'!E783-'Приложение №1'!P774-'Приложение №1'!R774-'Приложение №1'!S774</f>
        <v>8094962.7537397463</v>
      </c>
      <c r="U774" s="65">
        <f t="shared" si="462"/>
        <v>6468.360856209516</v>
      </c>
      <c r="V774" s="65">
        <v>1413.2830200640001</v>
      </c>
      <c r="W774" s="126">
        <v>2024</v>
      </c>
      <c r="X774" s="74">
        <v>421077.31</v>
      </c>
      <c r="Y774" s="74">
        <f t="shared" ref="Y774:Y777" si="531">+(K774*9.1+L774*18.19)*12</f>
        <v>187675.04399999999</v>
      </c>
      <c r="AA774" s="129">
        <f>+N774-'[5]Приложение № 2'!E659</f>
        <v>-21763213.565945458</v>
      </c>
      <c r="AD774" s="129">
        <f>+N774-'[5]Приложение № 2'!E659</f>
        <v>-21763213.565945458</v>
      </c>
      <c r="AP774" s="128">
        <f>+N774-'Приложение №2'!E783</f>
        <v>0</v>
      </c>
      <c r="AQ774" s="38">
        <f>687400.81-R448</f>
        <v>-184072.77000000002</v>
      </c>
      <c r="AR774" s="25">
        <f t="shared" si="518"/>
        <v>184072.77</v>
      </c>
      <c r="AS774" s="25">
        <f>+(K774*10.5+L774*21)*12*30-S448</f>
        <v>1206187.6791120786</v>
      </c>
      <c r="AT774" s="127">
        <f t="shared" si="465"/>
        <v>0</v>
      </c>
      <c r="AU774" s="127">
        <f>+P774-'[6]Приложение №1'!$P693</f>
        <v>0</v>
      </c>
      <c r="AV774" s="127">
        <f>+Q774-'[6]Приложение №1'!$Q693</f>
        <v>0</v>
      </c>
      <c r="AW774" s="88">
        <f t="shared" si="481"/>
        <v>10362960.927733265</v>
      </c>
      <c r="AX774" s="64">
        <v>6974205.8600000003</v>
      </c>
      <c r="AY774" s="64"/>
      <c r="AZ774" s="64"/>
      <c r="BA774" s="64">
        <v>3042760.85</v>
      </c>
      <c r="BB774" s="64">
        <v>0</v>
      </c>
      <c r="BC774" s="64"/>
      <c r="BD774" s="64">
        <v>189247.51092297008</v>
      </c>
      <c r="BE774" s="64"/>
      <c r="BF774" s="64"/>
      <c r="BG774" s="64"/>
      <c r="BH774" s="64"/>
      <c r="BI774" s="64"/>
      <c r="BJ774" s="64"/>
      <c r="BK774" s="65"/>
      <c r="BL774" s="66">
        <v>156746.70681029282</v>
      </c>
    </row>
    <row r="775" spans="1:64" s="74" customFormat="1" x14ac:dyDescent="0.25">
      <c r="A775" s="141">
        <f t="shared" si="503"/>
        <v>756</v>
      </c>
      <c r="B775" s="142">
        <f t="shared" si="504"/>
        <v>298</v>
      </c>
      <c r="C775" s="62" t="s">
        <v>136</v>
      </c>
      <c r="D775" s="62" t="s">
        <v>879</v>
      </c>
      <c r="E775" s="123" t="s">
        <v>121</v>
      </c>
      <c r="F775" s="123" t="s">
        <v>121</v>
      </c>
      <c r="G775" s="123" t="s">
        <v>43</v>
      </c>
      <c r="H775" s="123" t="s">
        <v>105</v>
      </c>
      <c r="I775" s="123" t="s">
        <v>105</v>
      </c>
      <c r="J775" s="64">
        <v>2747.6</v>
      </c>
      <c r="K775" s="64">
        <v>2270.63</v>
      </c>
      <c r="L775" s="64">
        <v>217.6</v>
      </c>
      <c r="M775" s="124">
        <v>95</v>
      </c>
      <c r="N775" s="63">
        <f t="shared" si="502"/>
        <v>4333951.7003086358</v>
      </c>
      <c r="O775" s="64">
        <v>0</v>
      </c>
      <c r="P775" s="65">
        <v>1455759.210889759</v>
      </c>
      <c r="Q775" s="65">
        <v>0</v>
      </c>
      <c r="R775" s="65">
        <f>+AR775</f>
        <v>289794.39299999998</v>
      </c>
      <c r="S775" s="65">
        <f t="shared" si="520"/>
        <v>0</v>
      </c>
      <c r="T775" s="65">
        <f>+'Приложение №2'!E784-'Приложение №1'!P775-'Приложение №1'!R775-'Приложение №1'!S775</f>
        <v>2588398.0964188767</v>
      </c>
      <c r="U775" s="65">
        <f t="shared" si="462"/>
        <v>1908.7000965849281</v>
      </c>
      <c r="V775" s="65">
        <v>1414.2830200640001</v>
      </c>
      <c r="W775" s="126">
        <v>2024</v>
      </c>
      <c r="X775" s="74">
        <v>551877.51</v>
      </c>
      <c r="Y775" s="74">
        <f t="shared" si="531"/>
        <v>295450.52399999998</v>
      </c>
      <c r="AA775" s="129">
        <f>+N775-'[5]Приложение № 2'!E660</f>
        <v>-23150360.233896192</v>
      </c>
      <c r="AD775" s="129">
        <f>+N775-'[5]Приложение № 2'!E660</f>
        <v>-23150360.233896192</v>
      </c>
      <c r="AP775" s="128">
        <f>+N775-'Приложение №2'!E784</f>
        <v>0</v>
      </c>
      <c r="AQ775" s="38">
        <f>878513.45-R449</f>
        <v>-289794.39299999992</v>
      </c>
      <c r="AR775" s="25">
        <f t="shared" si="518"/>
        <v>289794.39299999998</v>
      </c>
      <c r="AS775" s="25">
        <f>+(K775*10.5+L775*21)*12*30-S449</f>
        <v>0</v>
      </c>
      <c r="AT775" s="127">
        <f t="shared" si="465"/>
        <v>0</v>
      </c>
      <c r="AU775" s="127">
        <f>+P775-'[6]Приложение №1'!$P694</f>
        <v>0</v>
      </c>
      <c r="AV775" s="127">
        <f>+Q775-'[6]Приложение №1'!$Q694</f>
        <v>0</v>
      </c>
      <c r="AW775" s="88">
        <f t="shared" si="481"/>
        <v>4333951.7003086358</v>
      </c>
      <c r="AX775" s="64"/>
      <c r="AY775" s="64"/>
      <c r="AZ775" s="64"/>
      <c r="BA775" s="64">
        <v>3971592.55</v>
      </c>
      <c r="BB775" s="64"/>
      <c r="BC775" s="64"/>
      <c r="BD775" s="64"/>
      <c r="BE775" s="64"/>
      <c r="BF775" s="64"/>
      <c r="BG775" s="64"/>
      <c r="BH775" s="64"/>
      <c r="BI775" s="64"/>
      <c r="BJ775" s="64"/>
      <c r="BK775" s="65"/>
      <c r="BL775" s="66">
        <v>362359.15030863637</v>
      </c>
    </row>
    <row r="776" spans="1:64" s="74" customFormat="1" x14ac:dyDescent="0.25">
      <c r="A776" s="141">
        <f t="shared" si="503"/>
        <v>757</v>
      </c>
      <c r="B776" s="142">
        <f t="shared" si="504"/>
        <v>299</v>
      </c>
      <c r="C776" s="62" t="s">
        <v>136</v>
      </c>
      <c r="D776" s="62" t="s">
        <v>881</v>
      </c>
      <c r="E776" s="123" t="s">
        <v>119</v>
      </c>
      <c r="F776" s="123" t="s">
        <v>119</v>
      </c>
      <c r="G776" s="123" t="s">
        <v>43</v>
      </c>
      <c r="H776" s="123" t="s">
        <v>108</v>
      </c>
      <c r="I776" s="123" t="s">
        <v>105</v>
      </c>
      <c r="J776" s="64">
        <v>3412.5</v>
      </c>
      <c r="K776" s="64">
        <v>2249.4</v>
      </c>
      <c r="L776" s="64">
        <v>936.2</v>
      </c>
      <c r="M776" s="124">
        <v>105</v>
      </c>
      <c r="N776" s="63">
        <f t="shared" si="502"/>
        <v>5639075.9206179809</v>
      </c>
      <c r="O776" s="64">
        <v>0</v>
      </c>
      <c r="P776" s="65">
        <v>4241300.1245600004</v>
      </c>
      <c r="Q776" s="65">
        <v>0</v>
      </c>
      <c r="R776" s="65">
        <f t="shared" ref="R776:R777" si="532">+AR776</f>
        <v>441444.78</v>
      </c>
      <c r="S776" s="65">
        <f t="shared" si="520"/>
        <v>0</v>
      </c>
      <c r="T776" s="65">
        <f>+'Приложение №2'!E785-'Приложение №1'!P776-'Приложение №1'!R776-'Приложение №1'!S776</f>
        <v>956331.01605798048</v>
      </c>
      <c r="U776" s="65">
        <f t="shared" ref="U776:U795" si="533">N776/K776</f>
        <v>2506.9244779132127</v>
      </c>
      <c r="V776" s="65">
        <v>1416.2830200640001</v>
      </c>
      <c r="W776" s="126">
        <v>2024</v>
      </c>
      <c r="X776" s="74">
        <v>550816.85</v>
      </c>
      <c r="Y776" s="74">
        <f t="shared" si="531"/>
        <v>449988.21600000001</v>
      </c>
      <c r="AA776" s="129">
        <f>+N776-'[5]Приложение № 2'!E662</f>
        <v>-35125734.355036408</v>
      </c>
      <c r="AD776" s="129">
        <f>+N776-'[5]Приложение № 2'!E662</f>
        <v>-35125734.355036408</v>
      </c>
      <c r="AP776" s="128">
        <f>+N776-'Приложение №2'!E785</f>
        <v>0</v>
      </c>
      <c r="AQ776" s="38">
        <f>906295.96-R451</f>
        <v>-441444.78</v>
      </c>
      <c r="AR776" s="25">
        <f t="shared" si="518"/>
        <v>441444.78</v>
      </c>
      <c r="AS776" s="25">
        <f>+(K776*10.5+L776*21)*12*30-S451</f>
        <v>0</v>
      </c>
      <c r="AT776" s="127">
        <f t="shared" si="465"/>
        <v>0</v>
      </c>
      <c r="AU776" s="127">
        <f>+P776-'[6]Приложение №1'!$P696</f>
        <v>0</v>
      </c>
      <c r="AV776" s="127">
        <f>+Q776-'[6]Приложение №1'!$Q696</f>
        <v>0</v>
      </c>
      <c r="AW776" s="88">
        <f t="shared" si="481"/>
        <v>5639075.9206179809</v>
      </c>
      <c r="AX776" s="64"/>
      <c r="AY776" s="64"/>
      <c r="AZ776" s="64"/>
      <c r="BA776" s="64">
        <v>4936837.75</v>
      </c>
      <c r="BB776" s="64"/>
      <c r="BC776" s="64"/>
      <c r="BD776" s="64"/>
      <c r="BE776" s="64"/>
      <c r="BF776" s="64"/>
      <c r="BG776" s="64"/>
      <c r="BH776" s="64"/>
      <c r="BI776" s="64"/>
      <c r="BJ776" s="64"/>
      <c r="BK776" s="65"/>
      <c r="BL776" s="66">
        <v>702238.17061798053</v>
      </c>
    </row>
    <row r="777" spans="1:64" s="74" customFormat="1" x14ac:dyDescent="0.25">
      <c r="A777" s="141">
        <f t="shared" si="503"/>
        <v>758</v>
      </c>
      <c r="B777" s="142">
        <f t="shared" si="504"/>
        <v>300</v>
      </c>
      <c r="C777" s="62" t="s">
        <v>136</v>
      </c>
      <c r="D777" s="62" t="s">
        <v>883</v>
      </c>
      <c r="E777" s="123" t="s">
        <v>133</v>
      </c>
      <c r="F777" s="123" t="s">
        <v>133</v>
      </c>
      <c r="G777" s="123" t="s">
        <v>43</v>
      </c>
      <c r="H777" s="123">
        <v>5</v>
      </c>
      <c r="I777" s="123" t="s">
        <v>102</v>
      </c>
      <c r="J777" s="64">
        <v>2036.3</v>
      </c>
      <c r="K777" s="64">
        <v>1337.75</v>
      </c>
      <c r="L777" s="64">
        <v>476.4</v>
      </c>
      <c r="M777" s="124">
        <v>93</v>
      </c>
      <c r="N777" s="63">
        <f t="shared" si="502"/>
        <v>3565785.8615224808</v>
      </c>
      <c r="O777" s="64">
        <v>0</v>
      </c>
      <c r="P777" s="65">
        <f>+'Приложение №2'!E786-'Приложение №1'!R777</f>
        <v>3320467.9565224806</v>
      </c>
      <c r="Q777" s="65">
        <v>0</v>
      </c>
      <c r="R777" s="65">
        <f t="shared" si="532"/>
        <v>245317.90500000003</v>
      </c>
      <c r="S777" s="65">
        <f t="shared" si="520"/>
        <v>0</v>
      </c>
      <c r="T777" s="65">
        <f>+'Приложение №2'!E786-'Приложение №1'!P777-'Приложение №1'!R777-'Приложение №1'!S777</f>
        <v>-2.3283064365386963E-10</v>
      </c>
      <c r="U777" s="65">
        <f t="shared" si="533"/>
        <v>2665.5098946159455</v>
      </c>
      <c r="V777" s="65">
        <v>1418.2830200640001</v>
      </c>
      <c r="W777" s="126">
        <v>2024</v>
      </c>
      <c r="X777" s="74">
        <v>322443.77</v>
      </c>
      <c r="Y777" s="74">
        <f t="shared" si="531"/>
        <v>250070.89200000002</v>
      </c>
      <c r="AA777" s="129">
        <f>+N777-'[5]Приложение № 2'!E664</f>
        <v>-3156505.7929303767</v>
      </c>
      <c r="AD777" s="129">
        <f>+N777-'[5]Приложение № 2'!E664</f>
        <v>-3156505.7929303767</v>
      </c>
      <c r="AP777" s="128">
        <f>+N777-'Приложение №2'!E786</f>
        <v>0</v>
      </c>
      <c r="AQ777" s="38">
        <f>522102.04-R453</f>
        <v>-245317.90500000009</v>
      </c>
      <c r="AR777" s="25">
        <f t="shared" si="518"/>
        <v>245317.90500000003</v>
      </c>
      <c r="AS777" s="25">
        <f>+(K777*10.5+L777*21)*12*30-S453</f>
        <v>0</v>
      </c>
      <c r="AT777" s="127">
        <f t="shared" ref="AT777:AT795" si="534">+S777-AS777</f>
        <v>0</v>
      </c>
      <c r="AU777" s="127">
        <f>+P777-'[6]Приложение №1'!$P698</f>
        <v>-1395728.3777614227</v>
      </c>
      <c r="AV777" s="127">
        <f>+Q777-'[6]Приложение №1'!$Q698</f>
        <v>0</v>
      </c>
      <c r="AW777" s="88">
        <f t="shared" si="481"/>
        <v>3565785.8615224804</v>
      </c>
      <c r="AX777" s="64"/>
      <c r="AY777" s="64"/>
      <c r="AZ777" s="64"/>
      <c r="BA777" s="64">
        <v>2879401</v>
      </c>
      <c r="BB777" s="64"/>
      <c r="BC777" s="64"/>
      <c r="BD777" s="64"/>
      <c r="BE777" s="64"/>
      <c r="BF777" s="64"/>
      <c r="BG777" s="64"/>
      <c r="BH777" s="64"/>
      <c r="BI777" s="64"/>
      <c r="BJ777" s="64"/>
      <c r="BK777" s="65"/>
      <c r="BL777" s="66">
        <v>686384.86152248038</v>
      </c>
    </row>
    <row r="778" spans="1:64" x14ac:dyDescent="0.25">
      <c r="A778" s="141">
        <f t="shared" si="503"/>
        <v>759</v>
      </c>
      <c r="B778" s="142">
        <f t="shared" si="504"/>
        <v>301</v>
      </c>
      <c r="C778" s="62" t="s">
        <v>69</v>
      </c>
      <c r="D778" s="62" t="s">
        <v>875</v>
      </c>
      <c r="E778" s="123">
        <v>1974</v>
      </c>
      <c r="F778" s="123">
        <v>1980</v>
      </c>
      <c r="G778" s="123" t="s">
        <v>43</v>
      </c>
      <c r="H778" s="123">
        <v>4</v>
      </c>
      <c r="I778" s="123">
        <v>4</v>
      </c>
      <c r="J778" s="64">
        <v>3718.5</v>
      </c>
      <c r="K778" s="64">
        <v>2628.2</v>
      </c>
      <c r="L778" s="64">
        <v>61.4</v>
      </c>
      <c r="M778" s="124">
        <v>99</v>
      </c>
      <c r="N778" s="95">
        <f t="shared" ref="N778" si="535">+P778+Q778+R778+S778+T778</f>
        <v>3735974.2036668174</v>
      </c>
      <c r="O778" s="64"/>
      <c r="P778" s="65">
        <f>+'Приложение №2'!E787-'Приложение №1'!R778</f>
        <v>3455372.2036668174</v>
      </c>
      <c r="Q778" s="65"/>
      <c r="R778" s="65">
        <f>+AR778</f>
        <v>280602</v>
      </c>
      <c r="S778" s="65">
        <f>+AS778</f>
        <v>0</v>
      </c>
      <c r="T778" s="65">
        <f>+'Приложение №2'!E787-'Приложение №1'!P778-'Приложение №1'!R778-'Приложение №1'!S778</f>
        <v>0</v>
      </c>
      <c r="U778" s="64">
        <f t="shared" ref="U778:V778" si="536">$N778/($K778+$L778)</f>
        <v>1389.0445433026537</v>
      </c>
      <c r="V778" s="64">
        <f t="shared" si="536"/>
        <v>1389.0445433026537</v>
      </c>
      <c r="W778" s="126">
        <v>2024</v>
      </c>
      <c r="X778" s="127" t="e">
        <f>+#REF!-'[1]Приложение №1'!$P1587</f>
        <v>#REF!</v>
      </c>
      <c r="Z778" s="63">
        <f t="shared" ref="Z778" si="537">SUM(AA778:AO778)</f>
        <v>14517653.369999999</v>
      </c>
      <c r="AA778" s="64">
        <v>0</v>
      </c>
      <c r="AB778" s="64">
        <v>0</v>
      </c>
      <c r="AC778" s="64">
        <v>0</v>
      </c>
      <c r="AD778" s="64">
        <v>0</v>
      </c>
      <c r="AE778" s="64">
        <v>0</v>
      </c>
      <c r="AF778" s="64"/>
      <c r="AG778" s="64">
        <v>0</v>
      </c>
      <c r="AH778" s="64">
        <v>0</v>
      </c>
      <c r="AI778" s="64">
        <v>12786278.0290938</v>
      </c>
      <c r="AJ778" s="64">
        <v>0</v>
      </c>
      <c r="AK778" s="64">
        <v>0</v>
      </c>
      <c r="AL778" s="64">
        <v>0</v>
      </c>
      <c r="AM778" s="64">
        <v>1306588.8032999998</v>
      </c>
      <c r="AN778" s="65">
        <v>145176.5337</v>
      </c>
      <c r="AO778" s="66">
        <v>279610.0039062</v>
      </c>
      <c r="AP778" s="128">
        <f>+N778-'Приложение №2'!E787</f>
        <v>0</v>
      </c>
      <c r="AQ778" s="127">
        <f>1100335.2-R456</f>
        <v>-280602</v>
      </c>
      <c r="AR778" s="25">
        <f t="shared" ref="AR778" si="538">+(K778*10+L778*20)*12*0.85</f>
        <v>280602</v>
      </c>
      <c r="AS778" s="25">
        <f>+(K778*10+L778*20)*12*30-S456</f>
        <v>0</v>
      </c>
      <c r="AT778" s="127">
        <f t="shared" si="534"/>
        <v>0</v>
      </c>
      <c r="AU778" s="127">
        <f>+P778-'[6]Приложение №1'!$P756</f>
        <v>3455372.2036668174</v>
      </c>
      <c r="AV778" s="127">
        <f>+Q778-'[6]Приложение №1'!$Q756</f>
        <v>0</v>
      </c>
      <c r="AW778" s="63">
        <f t="shared" si="481"/>
        <v>3735974.2036668174</v>
      </c>
      <c r="AX778" s="64"/>
      <c r="AY778" s="64"/>
      <c r="AZ778" s="64"/>
      <c r="BA778" s="64">
        <v>3072620.52</v>
      </c>
      <c r="BB778" s="64">
        <v>0</v>
      </c>
      <c r="BC778" s="64"/>
      <c r="BD778" s="64"/>
      <c r="BE778" s="64"/>
      <c r="BF778" s="64"/>
      <c r="BG778" s="64">
        <v>0</v>
      </c>
      <c r="BH778" s="64">
        <v>0</v>
      </c>
      <c r="BI778" s="64">
        <v>0</v>
      </c>
      <c r="BJ778" s="64"/>
      <c r="BK778" s="65"/>
      <c r="BL778" s="66">
        <v>663353.68366681749</v>
      </c>
    </row>
    <row r="779" spans="1:64" x14ac:dyDescent="0.25">
      <c r="A779" s="141">
        <f t="shared" si="503"/>
        <v>760</v>
      </c>
      <c r="B779" s="142">
        <f t="shared" si="504"/>
        <v>302</v>
      </c>
      <c r="C779" s="62" t="s">
        <v>61</v>
      </c>
      <c r="D779" s="62" t="s">
        <v>884</v>
      </c>
      <c r="E779" s="123">
        <v>1980</v>
      </c>
      <c r="F779" s="123">
        <v>2013</v>
      </c>
      <c r="G779" s="123" t="s">
        <v>48</v>
      </c>
      <c r="H779" s="123">
        <v>1</v>
      </c>
      <c r="I779" s="123">
        <v>2</v>
      </c>
      <c r="J779" s="64">
        <v>418.7</v>
      </c>
      <c r="K779" s="64">
        <v>397.3</v>
      </c>
      <c r="L779" s="64">
        <v>0</v>
      </c>
      <c r="M779" s="124">
        <v>19</v>
      </c>
      <c r="N779" s="63">
        <f t="shared" si="502"/>
        <v>4324812.7126487587</v>
      </c>
      <c r="O779" s="64"/>
      <c r="P779" s="65">
        <v>992724.08210077998</v>
      </c>
      <c r="Q779" s="65"/>
      <c r="R779" s="65">
        <f t="shared" ref="R779:S783" si="539">+AR779</f>
        <v>30231.351600000002</v>
      </c>
      <c r="S779" s="65">
        <f t="shared" si="539"/>
        <v>17163.360000000044</v>
      </c>
      <c r="T779" s="65">
        <f>+'Приложение №2'!E788-'Приложение №1'!P779-'Приложение №1'!R779-'Приложение №1'!S779</f>
        <v>3284693.9189479789</v>
      </c>
      <c r="U779" s="65">
        <f t="shared" si="533"/>
        <v>10885.508967150159</v>
      </c>
      <c r="V779" s="65">
        <v>1421.2830200640001</v>
      </c>
      <c r="W779" s="126">
        <v>2024</v>
      </c>
      <c r="X779" s="127" t="e">
        <f>+#REF!-'[1]Приложение №1'!$P447</f>
        <v>#REF!</v>
      </c>
      <c r="Z779" s="63">
        <f t="shared" ref="Z779:Z794" si="540">SUM(AA779:AO779)</f>
        <v>6552939.6500000004</v>
      </c>
      <c r="AA779" s="64">
        <v>0</v>
      </c>
      <c r="AB779" s="64">
        <v>0</v>
      </c>
      <c r="AC779" s="64">
        <v>0</v>
      </c>
      <c r="AD779" s="64">
        <v>0</v>
      </c>
      <c r="AE779" s="64">
        <v>0</v>
      </c>
      <c r="AF779" s="64"/>
      <c r="AG779" s="64">
        <v>0</v>
      </c>
      <c r="AH779" s="64">
        <v>0</v>
      </c>
      <c r="AI779" s="64">
        <v>2736680.7350400002</v>
      </c>
      <c r="AJ779" s="64">
        <v>0</v>
      </c>
      <c r="AK779" s="64">
        <v>0</v>
      </c>
      <c r="AL779" s="64">
        <v>3525835.391022</v>
      </c>
      <c r="AM779" s="64">
        <v>108678.99</v>
      </c>
      <c r="AN779" s="65">
        <v>44795.99</v>
      </c>
      <c r="AO779" s="66">
        <v>136948.54393799999</v>
      </c>
      <c r="AP779" s="128">
        <f>+N779-'Приложение №2'!E788</f>
        <v>0</v>
      </c>
      <c r="AQ779" s="127">
        <f>185510.57-R458</f>
        <v>5736.3240000000224</v>
      </c>
      <c r="AR779" s="25">
        <f>+(K779*7.46+L779*20.48)*12*0.85</f>
        <v>30231.351600000002</v>
      </c>
      <c r="AS779" s="25">
        <f>+(K779*7.46+L779*20.48)*12*10-S458</f>
        <v>17163.360000000044</v>
      </c>
      <c r="AT779" s="127">
        <f t="shared" si="534"/>
        <v>0</v>
      </c>
      <c r="AU779" s="127">
        <f>+P779-'[6]Приложение №1'!$P701</f>
        <v>0</v>
      </c>
      <c r="AV779" s="127">
        <f>+Q779-'[6]Приложение №1'!$Q701</f>
        <v>0</v>
      </c>
      <c r="AW779" s="88">
        <f t="shared" si="481"/>
        <v>4324812.7126487587</v>
      </c>
      <c r="AX779" s="64">
        <v>0</v>
      </c>
      <c r="AY779" s="64">
        <v>0</v>
      </c>
      <c r="AZ779" s="23">
        <v>0</v>
      </c>
      <c r="BA779" s="23">
        <v>0</v>
      </c>
      <c r="BB779" s="64">
        <v>0</v>
      </c>
      <c r="BC779" s="64"/>
      <c r="BD779" s="64"/>
      <c r="BE779" s="64">
        <v>0</v>
      </c>
      <c r="BF779" s="64"/>
      <c r="BG779" s="64">
        <v>0</v>
      </c>
      <c r="BH779" s="64">
        <v>0</v>
      </c>
      <c r="BI779" s="64">
        <v>4233749.7474075165</v>
      </c>
      <c r="BJ779" s="64"/>
      <c r="BK779" s="65"/>
      <c r="BL779" s="66">
        <v>91062.965241242244</v>
      </c>
    </row>
    <row r="780" spans="1:64" x14ac:dyDescent="0.25">
      <c r="A780" s="141">
        <f t="shared" si="503"/>
        <v>761</v>
      </c>
      <c r="B780" s="142">
        <f t="shared" si="504"/>
        <v>303</v>
      </c>
      <c r="C780" s="62" t="s">
        <v>61</v>
      </c>
      <c r="D780" s="62" t="s">
        <v>885</v>
      </c>
      <c r="E780" s="123">
        <v>1975</v>
      </c>
      <c r="F780" s="123">
        <v>1975</v>
      </c>
      <c r="G780" s="123" t="s">
        <v>48</v>
      </c>
      <c r="H780" s="123">
        <v>2</v>
      </c>
      <c r="I780" s="123">
        <v>2</v>
      </c>
      <c r="J780" s="64">
        <v>404.7</v>
      </c>
      <c r="K780" s="64">
        <v>359</v>
      </c>
      <c r="L780" s="64">
        <v>0</v>
      </c>
      <c r="M780" s="124">
        <v>19</v>
      </c>
      <c r="N780" s="63">
        <f t="shared" si="502"/>
        <v>137017.84966834213</v>
      </c>
      <c r="O780" s="64"/>
      <c r="P780" s="65">
        <v>81633.803878679973</v>
      </c>
      <c r="Q780" s="65"/>
      <c r="R780" s="65">
        <f>+'Приложение №2'!E789-'Приложение №1'!P780-'Приложение №1'!Q780</f>
        <v>55384.045789662152</v>
      </c>
      <c r="S780" s="65">
        <f>+'Приложение №2'!E789-'Приложение №1'!P780-'Приложение №1'!R780</f>
        <v>0</v>
      </c>
      <c r="T780" s="65">
        <v>0</v>
      </c>
      <c r="U780" s="65">
        <f t="shared" si="533"/>
        <v>381.66531941042376</v>
      </c>
      <c r="V780" s="65">
        <v>1422.2830200640001</v>
      </c>
      <c r="W780" s="126">
        <v>2024</v>
      </c>
      <c r="X780" s="127" t="e">
        <f>+#REF!-'[1]Приложение №1'!$P376</f>
        <v>#REF!</v>
      </c>
      <c r="Z780" s="63">
        <f t="shared" si="540"/>
        <v>2159719.7000000002</v>
      </c>
      <c r="AA780" s="64">
        <v>0</v>
      </c>
      <c r="AB780" s="64">
        <v>0</v>
      </c>
      <c r="AC780" s="64">
        <v>105075.60923999998</v>
      </c>
      <c r="AD780" s="64">
        <v>0</v>
      </c>
      <c r="AE780" s="64">
        <v>0</v>
      </c>
      <c r="AF780" s="64"/>
      <c r="AG780" s="64">
        <v>0</v>
      </c>
      <c r="AH780" s="64">
        <v>0</v>
      </c>
      <c r="AI780" s="64">
        <v>0</v>
      </c>
      <c r="AJ780" s="64">
        <v>0</v>
      </c>
      <c r="AK780" s="64">
        <v>1919964.7690860003</v>
      </c>
      <c r="AL780" s="64">
        <v>0</v>
      </c>
      <c r="AM780" s="64">
        <v>60395.79</v>
      </c>
      <c r="AN780" s="65">
        <v>30000</v>
      </c>
      <c r="AO780" s="66">
        <v>44283.531674000005</v>
      </c>
      <c r="AP780" s="128">
        <f>+N780-'Приложение №2'!E789</f>
        <v>0</v>
      </c>
      <c r="AQ780" s="127">
        <f>151102.82-R460</f>
        <v>-2460.5299999999988</v>
      </c>
      <c r="AR780" s="25">
        <f t="shared" ref="AR780:AR784" si="541">+(K780*7.46+L780*20.48)*12*0.85</f>
        <v>27317.027999999998</v>
      </c>
      <c r="AS780" s="25">
        <f>+(K780*7.46+L780*20.48)*12*10-S460</f>
        <v>15508.799999999988</v>
      </c>
      <c r="AT780" s="127">
        <f t="shared" si="534"/>
        <v>-15508.799999999988</v>
      </c>
      <c r="AU780" s="127">
        <f>+P780-'[6]Приложение №1'!$P702</f>
        <v>0</v>
      </c>
      <c r="AV780" s="127">
        <f>+Q780-'[6]Приложение №1'!$Q702</f>
        <v>0</v>
      </c>
      <c r="AW780" s="88">
        <f t="shared" si="481"/>
        <v>137017.84966834213</v>
      </c>
      <c r="AX780" s="64">
        <v>0</v>
      </c>
      <c r="AY780" s="64">
        <v>0</v>
      </c>
      <c r="AZ780" s="64">
        <v>135258.76977272402</v>
      </c>
      <c r="BA780" s="64">
        <v>0</v>
      </c>
      <c r="BB780" s="64">
        <v>0</v>
      </c>
      <c r="BC780" s="64"/>
      <c r="BD780" s="64"/>
      <c r="BE780" s="64">
        <v>0</v>
      </c>
      <c r="BF780" s="64">
        <v>0</v>
      </c>
      <c r="BG780" s="64">
        <v>0</v>
      </c>
      <c r="BH780" s="64"/>
      <c r="BI780" s="64">
        <v>0</v>
      </c>
      <c r="BJ780" s="64"/>
      <c r="BK780" s="65"/>
      <c r="BL780" s="66">
        <v>1759.079895618122</v>
      </c>
    </row>
    <row r="781" spans="1:64" x14ac:dyDescent="0.25">
      <c r="A781" s="141">
        <f t="shared" si="503"/>
        <v>762</v>
      </c>
      <c r="B781" s="142">
        <f t="shared" si="504"/>
        <v>304</v>
      </c>
      <c r="C781" s="62" t="s">
        <v>61</v>
      </c>
      <c r="D781" s="62" t="s">
        <v>886</v>
      </c>
      <c r="E781" s="123">
        <v>1982</v>
      </c>
      <c r="F781" s="123">
        <v>1982</v>
      </c>
      <c r="G781" s="123" t="s">
        <v>48</v>
      </c>
      <c r="H781" s="123">
        <v>2</v>
      </c>
      <c r="I781" s="123">
        <v>3</v>
      </c>
      <c r="J781" s="64">
        <v>1277.5</v>
      </c>
      <c r="K781" s="64">
        <v>1102.3</v>
      </c>
      <c r="L781" s="64">
        <v>0</v>
      </c>
      <c r="M781" s="124">
        <v>34</v>
      </c>
      <c r="N781" s="63">
        <f t="shared" si="502"/>
        <v>7163356.6237926418</v>
      </c>
      <c r="O781" s="64"/>
      <c r="P781" s="65">
        <v>1647930.1753248754</v>
      </c>
      <c r="Q781" s="65"/>
      <c r="R781" s="65">
        <f t="shared" si="539"/>
        <v>83876.211599999995</v>
      </c>
      <c r="S781" s="65">
        <f t="shared" si="539"/>
        <v>47619.360000000102</v>
      </c>
      <c r="T781" s="65">
        <f>+'Приложение №2'!E790-'Приложение №1'!P781-'Приложение №1'!R781-'Приложение №1'!S781</f>
        <v>5383930.8768677665</v>
      </c>
      <c r="U781" s="65">
        <f t="shared" si="533"/>
        <v>6498.5544985871738</v>
      </c>
      <c r="V781" s="65">
        <v>1423.2830200640001</v>
      </c>
      <c r="W781" s="126">
        <v>2024</v>
      </c>
      <c r="X781" s="127" t="e">
        <f>+#REF!-'[1]Приложение №1'!$P445</f>
        <v>#REF!</v>
      </c>
      <c r="Z781" s="63">
        <f t="shared" si="540"/>
        <v>20938342.830000006</v>
      </c>
      <c r="AA781" s="64">
        <v>2788532.6780639999</v>
      </c>
      <c r="AB781" s="64">
        <v>0</v>
      </c>
      <c r="AC781" s="64">
        <v>377369.21947199997</v>
      </c>
      <c r="AD781" s="64">
        <v>1566144.8148779999</v>
      </c>
      <c r="AE781" s="64">
        <v>0</v>
      </c>
      <c r="AF781" s="64"/>
      <c r="AG781" s="64">
        <v>616763.67752999999</v>
      </c>
      <c r="AH781" s="64">
        <v>0</v>
      </c>
      <c r="AI781" s="64">
        <v>3422622.3707340001</v>
      </c>
      <c r="AJ781" s="64">
        <v>0</v>
      </c>
      <c r="AK781" s="64">
        <v>5952055.6381440004</v>
      </c>
      <c r="AL781" s="64">
        <v>5507536.2469260003</v>
      </c>
      <c r="AM781" s="64">
        <v>219906.35</v>
      </c>
      <c r="AN781" s="65">
        <v>45000.3</v>
      </c>
      <c r="AO781" s="66">
        <v>442411.53425199992</v>
      </c>
      <c r="AP781" s="128">
        <f>+N781-'Приложение №2'!E790</f>
        <v>0</v>
      </c>
      <c r="AQ781" s="127">
        <f>397322.38-R461</f>
        <v>-29019.355999999971</v>
      </c>
      <c r="AR781" s="25">
        <f t="shared" si="541"/>
        <v>83876.211599999995</v>
      </c>
      <c r="AS781" s="25">
        <f>+(K781*7.46+L781*20.48)*12*10-S461</f>
        <v>47619.360000000102</v>
      </c>
      <c r="AT781" s="127">
        <f t="shared" si="534"/>
        <v>0</v>
      </c>
      <c r="AU781" s="127">
        <f>+P781-'[6]Приложение №1'!$P703</f>
        <v>0</v>
      </c>
      <c r="AV781" s="127">
        <f>+Q781-'[6]Приложение №1'!$Q703</f>
        <v>0</v>
      </c>
      <c r="AW781" s="88">
        <f t="shared" si="481"/>
        <v>7163356.6237926418</v>
      </c>
      <c r="AX781" s="64"/>
      <c r="AY781" s="64">
        <v>0</v>
      </c>
      <c r="AZ781" s="64">
        <v>452723.07120802806</v>
      </c>
      <c r="BA781" s="64"/>
      <c r="BB781" s="64">
        <v>0</v>
      </c>
      <c r="BC781" s="64"/>
      <c r="BD781" s="64">
        <v>0</v>
      </c>
      <c r="BE781" s="64">
        <v>0</v>
      </c>
      <c r="BF781" s="64"/>
      <c r="BG781" s="64">
        <v>0</v>
      </c>
      <c r="BH781" s="64"/>
      <c r="BI781" s="64">
        <v>6561163.0531278243</v>
      </c>
      <c r="BJ781" s="64"/>
      <c r="BK781" s="65"/>
      <c r="BL781" s="66">
        <v>149470.49945678934</v>
      </c>
    </row>
    <row r="782" spans="1:64" x14ac:dyDescent="0.25">
      <c r="A782" s="141">
        <f t="shared" si="503"/>
        <v>763</v>
      </c>
      <c r="B782" s="142">
        <f t="shared" si="504"/>
        <v>305</v>
      </c>
      <c r="C782" s="62" t="s">
        <v>61</v>
      </c>
      <c r="D782" s="62" t="s">
        <v>887</v>
      </c>
      <c r="E782" s="123">
        <v>1980</v>
      </c>
      <c r="F782" s="123">
        <v>2009</v>
      </c>
      <c r="G782" s="123" t="s">
        <v>48</v>
      </c>
      <c r="H782" s="123">
        <v>2</v>
      </c>
      <c r="I782" s="123">
        <v>2</v>
      </c>
      <c r="J782" s="64">
        <v>672.9</v>
      </c>
      <c r="K782" s="64">
        <v>611.1</v>
      </c>
      <c r="L782" s="64">
        <v>0</v>
      </c>
      <c r="M782" s="124">
        <v>29</v>
      </c>
      <c r="N782" s="63">
        <f t="shared" si="502"/>
        <v>4259653.0103082992</v>
      </c>
      <c r="O782" s="64"/>
      <c r="P782" s="65">
        <v>1036056.2405274999</v>
      </c>
      <c r="Q782" s="65"/>
      <c r="R782" s="65">
        <f>+AR782</f>
        <v>46499.821200000006</v>
      </c>
      <c r="S782" s="65">
        <f t="shared" si="539"/>
        <v>26399.520000000135</v>
      </c>
      <c r="T782" s="65">
        <f>+'Приложение №2'!E791-'Приложение №1'!P782-'Приложение №1'!R782-'Приложение №1'!S782</f>
        <v>3150697.4285807991</v>
      </c>
      <c r="U782" s="65">
        <f t="shared" si="533"/>
        <v>6970.4680253776778</v>
      </c>
      <c r="V782" s="65">
        <v>1424.2830200640001</v>
      </c>
      <c r="W782" s="126">
        <v>2024</v>
      </c>
      <c r="X782" s="127" t="e">
        <f>+#REF!-'[1]Приложение №1'!$P445</f>
        <v>#REF!</v>
      </c>
      <c r="Z782" s="63">
        <f t="shared" si="540"/>
        <v>11378629.49</v>
      </c>
      <c r="AA782" s="64">
        <v>1424337.5088524399</v>
      </c>
      <c r="AB782" s="64">
        <v>0</v>
      </c>
      <c r="AC782" s="64">
        <v>0</v>
      </c>
      <c r="AD782" s="64">
        <v>760379.17506936006</v>
      </c>
      <c r="AE782" s="64">
        <v>0</v>
      </c>
      <c r="AF782" s="64"/>
      <c r="AG782" s="64">
        <v>334977.14468904003</v>
      </c>
      <c r="AH782" s="64">
        <v>0</v>
      </c>
      <c r="AI782" s="64">
        <v>1736316.6240672001</v>
      </c>
      <c r="AJ782" s="64">
        <v>0</v>
      </c>
      <c r="AK782" s="64">
        <v>2963106.3528674999</v>
      </c>
      <c r="AL782" s="64">
        <v>2745980.9435167201</v>
      </c>
      <c r="AM782" s="64">
        <v>1081828.9410000001</v>
      </c>
      <c r="AN782" s="65">
        <v>113786.29490000001</v>
      </c>
      <c r="AO782" s="66">
        <v>217916.50503774002</v>
      </c>
      <c r="AP782" s="128">
        <f>+N782-'Приложение №2'!E791</f>
        <v>0</v>
      </c>
      <c r="AQ782" s="127">
        <f>212506.51-R463</f>
        <v>-17153.72199999998</v>
      </c>
      <c r="AR782" s="25">
        <f t="shared" si="541"/>
        <v>46499.821200000006</v>
      </c>
      <c r="AS782" s="25">
        <f>+(K782*7.46+L782*20.48)*12*10-S463</f>
        <v>26399.520000000135</v>
      </c>
      <c r="AT782" s="127">
        <f t="shared" si="534"/>
        <v>0</v>
      </c>
      <c r="AU782" s="127">
        <f>+P782-'[6]Приложение №1'!$P704</f>
        <v>0</v>
      </c>
      <c r="AV782" s="127">
        <f>+Q782-'[6]Приложение №1'!$Q704</f>
        <v>0</v>
      </c>
      <c r="AW782" s="88">
        <f t="shared" si="481"/>
        <v>4259653.0103082992</v>
      </c>
      <c r="AX782" s="64"/>
      <c r="AY782" s="64">
        <v>0</v>
      </c>
      <c r="AZ782" s="64">
        <v>0</v>
      </c>
      <c r="BA782" s="64">
        <v>904580.55352005619</v>
      </c>
      <c r="BB782" s="64">
        <v>0</v>
      </c>
      <c r="BC782" s="64"/>
      <c r="BD782" s="64">
        <v>0</v>
      </c>
      <c r="BE782" s="64">
        <v>0</v>
      </c>
      <c r="BF782" s="64"/>
      <c r="BG782" s="64">
        <v>0</v>
      </c>
      <c r="BH782" s="64"/>
      <c r="BI782" s="64">
        <v>3266743.4001699993</v>
      </c>
      <c r="BJ782" s="64"/>
      <c r="BK782" s="65"/>
      <c r="BL782" s="66">
        <v>88329.056618243631</v>
      </c>
    </row>
    <row r="783" spans="1:64" x14ac:dyDescent="0.25">
      <c r="A783" s="141">
        <f t="shared" si="503"/>
        <v>764</v>
      </c>
      <c r="B783" s="142">
        <f t="shared" si="504"/>
        <v>306</v>
      </c>
      <c r="C783" s="62" t="s">
        <v>61</v>
      </c>
      <c r="D783" s="62" t="s">
        <v>888</v>
      </c>
      <c r="E783" s="123">
        <v>1977</v>
      </c>
      <c r="F783" s="123">
        <v>2009</v>
      </c>
      <c r="G783" s="123" t="s">
        <v>48</v>
      </c>
      <c r="H783" s="123">
        <v>2</v>
      </c>
      <c r="I783" s="123">
        <v>2</v>
      </c>
      <c r="J783" s="64">
        <v>513.5</v>
      </c>
      <c r="K783" s="64">
        <v>482.7</v>
      </c>
      <c r="L783" s="64">
        <v>0</v>
      </c>
      <c r="M783" s="124">
        <v>23</v>
      </c>
      <c r="N783" s="63">
        <f t="shared" si="502"/>
        <v>2900580.0006778212</v>
      </c>
      <c r="O783" s="64"/>
      <c r="P783" s="65">
        <v>666824.07274607487</v>
      </c>
      <c r="Q783" s="65"/>
      <c r="R783" s="65">
        <f t="shared" si="539"/>
        <v>36729.608400000005</v>
      </c>
      <c r="S783" s="65">
        <f t="shared" si="539"/>
        <v>20852.64000000013</v>
      </c>
      <c r="T783" s="65">
        <f>+'Приложение №2'!E792-'Приложение №1'!P783-'Приложение №1'!R783-'Приложение №1'!S783</f>
        <v>2176173.6795317461</v>
      </c>
      <c r="U783" s="65">
        <f t="shared" si="533"/>
        <v>6009.0739603849624</v>
      </c>
      <c r="V783" s="65">
        <v>1425.2830200640001</v>
      </c>
      <c r="W783" s="126">
        <v>2024</v>
      </c>
      <c r="X783" s="127" t="e">
        <f>+#REF!-'[1]Приложение №1'!$P270</f>
        <v>#REF!</v>
      </c>
      <c r="Z783" s="63">
        <f t="shared" si="540"/>
        <v>8714786.4700000007</v>
      </c>
      <c r="AA783" s="64">
        <v>1207621.7677859999</v>
      </c>
      <c r="AB783" s="64">
        <v>0</v>
      </c>
      <c r="AC783" s="64">
        <v>0</v>
      </c>
      <c r="AD783" s="64">
        <v>674481.81868200004</v>
      </c>
      <c r="AE783" s="64">
        <v>0</v>
      </c>
      <c r="AF783" s="64"/>
      <c r="AG783" s="64">
        <v>0</v>
      </c>
      <c r="AH783" s="64">
        <v>0</v>
      </c>
      <c r="AI783" s="64">
        <v>1465015.4884260001</v>
      </c>
      <c r="AJ783" s="64">
        <v>0</v>
      </c>
      <c r="AK783" s="64">
        <v>2572639.0445699999</v>
      </c>
      <c r="AL783" s="64">
        <v>2380773.3781019999</v>
      </c>
      <c r="AM783" s="64">
        <v>188635.93</v>
      </c>
      <c r="AN783" s="65">
        <v>44103.229999999996</v>
      </c>
      <c r="AO783" s="66">
        <v>181515.81243399999</v>
      </c>
      <c r="AP783" s="128">
        <f>+N783-'Приложение №2'!E792</f>
        <v>0</v>
      </c>
      <c r="AQ783" s="127">
        <f>172470.5-R462</f>
        <v>-10471.063999999984</v>
      </c>
      <c r="AR783" s="25">
        <f t="shared" si="541"/>
        <v>36729.608400000005</v>
      </c>
      <c r="AS783" s="25">
        <f>+(K783*7.46+L783*20.48)*12*10-S462</f>
        <v>20852.64000000013</v>
      </c>
      <c r="AT783" s="127">
        <f t="shared" si="534"/>
        <v>0</v>
      </c>
      <c r="AU783" s="127">
        <f>+P783-'[6]Приложение №1'!$P705</f>
        <v>0</v>
      </c>
      <c r="AV783" s="127">
        <f>+Q783-'[6]Приложение №1'!$Q705</f>
        <v>0</v>
      </c>
      <c r="AW783" s="88">
        <f t="shared" si="481"/>
        <v>2900580.0006778208</v>
      </c>
      <c r="AX783" s="64"/>
      <c r="AY783" s="64"/>
      <c r="AZ783" s="64"/>
      <c r="BA783" s="64"/>
      <c r="BB783" s="64">
        <v>0</v>
      </c>
      <c r="BC783" s="64"/>
      <c r="BD783" s="64"/>
      <c r="BE783" s="64"/>
      <c r="BF783" s="64"/>
      <c r="BG783" s="64"/>
      <c r="BH783" s="64"/>
      <c r="BI783" s="64">
        <v>2842159.2559476825</v>
      </c>
      <c r="BJ783" s="64"/>
      <c r="BK783" s="65"/>
      <c r="BL783" s="66">
        <v>58420.744730138162</v>
      </c>
    </row>
    <row r="784" spans="1:64" x14ac:dyDescent="0.25">
      <c r="A784" s="141">
        <f t="shared" si="503"/>
        <v>765</v>
      </c>
      <c r="B784" s="142">
        <f t="shared" si="504"/>
        <v>307</v>
      </c>
      <c r="C784" s="62" t="s">
        <v>70</v>
      </c>
      <c r="D784" s="62" t="s">
        <v>889</v>
      </c>
      <c r="E784" s="123">
        <v>1981</v>
      </c>
      <c r="F784" s="123">
        <v>2012</v>
      </c>
      <c r="G784" s="123" t="s">
        <v>48</v>
      </c>
      <c r="H784" s="123">
        <v>2</v>
      </c>
      <c r="I784" s="123">
        <v>2</v>
      </c>
      <c r="J784" s="64">
        <v>1102.5</v>
      </c>
      <c r="K784" s="64">
        <v>944.54</v>
      </c>
      <c r="L784" s="64">
        <v>0</v>
      </c>
      <c r="M784" s="124">
        <v>51</v>
      </c>
      <c r="N784" s="95">
        <f t="shared" ref="N784" si="542">+P784+Q784+R784+S784+T784</f>
        <v>7649896.2214602223</v>
      </c>
      <c r="O784" s="64"/>
      <c r="P784" s="65">
        <v>6371871.7809098372</v>
      </c>
      <c r="Q784" s="65"/>
      <c r="R784" s="65">
        <f>+'Приложение №2'!E793-'Приложение №1'!P784-'Приложение №1'!Q784</f>
        <v>1278024.440550385</v>
      </c>
      <c r="S784" s="65"/>
      <c r="T784" s="65"/>
      <c r="U784" s="65">
        <f t="shared" ref="U784" si="543">N784/K784</f>
        <v>8099.0706814536416</v>
      </c>
      <c r="V784" s="65">
        <v>1426.2830200640001</v>
      </c>
      <c r="W784" s="126">
        <v>2024</v>
      </c>
      <c r="X784" s="127"/>
      <c r="Z784" s="63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  <c r="AL784" s="64"/>
      <c r="AM784" s="64"/>
      <c r="AN784" s="65"/>
      <c r="AO784" s="66"/>
      <c r="AP784" s="128">
        <f>+N784-'Приложение №2'!E793</f>
        <v>0</v>
      </c>
      <c r="AQ784" s="38">
        <f>272576.7+AR465-R465</f>
        <v>0</v>
      </c>
      <c r="AR784" s="25">
        <f t="shared" si="541"/>
        <v>71871.937679999988</v>
      </c>
      <c r="AS784" s="25">
        <f>+(K784*7.46+L784*20.48)*12*10-S465</f>
        <v>40804.128000000142</v>
      </c>
      <c r="AT784" s="127"/>
      <c r="AU784" s="127"/>
      <c r="AV784" s="127"/>
      <c r="AW784" s="88">
        <f t="shared" si="481"/>
        <v>7649896.2214602223</v>
      </c>
      <c r="AX784" s="64">
        <v>0</v>
      </c>
      <c r="AY784" s="64">
        <v>0</v>
      </c>
      <c r="AZ784" s="64">
        <v>361131.79129235272</v>
      </c>
      <c r="BA784" s="64">
        <v>1398154.9926719584</v>
      </c>
      <c r="BB784" s="64">
        <v>0</v>
      </c>
      <c r="BC784" s="64"/>
      <c r="BD784" s="64">
        <v>0</v>
      </c>
      <c r="BE784" s="64"/>
      <c r="BF784" s="64"/>
      <c r="BG784" s="64">
        <v>0</v>
      </c>
      <c r="BH784" s="64">
        <v>0</v>
      </c>
      <c r="BI784" s="64">
        <v>5610416.6446796712</v>
      </c>
      <c r="BJ784" s="64">
        <v>83285.91</v>
      </c>
      <c r="BK784" s="65">
        <v>30861.42</v>
      </c>
      <c r="BL784" s="66">
        <v>166045.46281623899</v>
      </c>
    </row>
    <row r="785" spans="1:64" x14ac:dyDescent="0.25">
      <c r="A785" s="141">
        <f t="shared" si="503"/>
        <v>766</v>
      </c>
      <c r="B785" s="142">
        <f t="shared" si="504"/>
        <v>308</v>
      </c>
      <c r="C785" s="62" t="s">
        <v>62</v>
      </c>
      <c r="D785" s="62" t="s">
        <v>892</v>
      </c>
      <c r="E785" s="123">
        <v>1978</v>
      </c>
      <c r="F785" s="123">
        <v>2011</v>
      </c>
      <c r="G785" s="123" t="s">
        <v>43</v>
      </c>
      <c r="H785" s="123">
        <v>4</v>
      </c>
      <c r="I785" s="123">
        <v>4</v>
      </c>
      <c r="J785" s="64">
        <v>3928.1</v>
      </c>
      <c r="K785" s="64">
        <v>3427.4</v>
      </c>
      <c r="L785" s="64">
        <v>412.7</v>
      </c>
      <c r="M785" s="124">
        <v>110</v>
      </c>
      <c r="N785" s="95">
        <f>+P785+Q785+R785+S785+T785</f>
        <v>6209439.0055262595</v>
      </c>
      <c r="O785" s="64"/>
      <c r="P785" s="65"/>
      <c r="Q785" s="65"/>
      <c r="R785" s="65">
        <f>+AQ785+AR785</f>
        <v>2262800.4500000002</v>
      </c>
      <c r="S785" s="65">
        <f>+'Приложение №2'!E794-'Приложение №1'!R785</f>
        <v>3946638.5555262594</v>
      </c>
      <c r="T785" s="65">
        <f>+'Приложение №2'!E794-'Приложение №1'!P785-'Приложение №1'!Q785-'Приложение №1'!R785-'Приложение №1'!S785</f>
        <v>0</v>
      </c>
      <c r="U785" s="64">
        <f>$N785/($K785+$L785)</f>
        <v>1616.9992983324028</v>
      </c>
      <c r="V785" s="64">
        <f>$N785/($K785+$L785)</f>
        <v>1616.9992983324028</v>
      </c>
      <c r="W785" s="126">
        <v>2024</v>
      </c>
      <c r="X785" s="127" t="e">
        <f>+#REF!-'[1]Приложение №1'!$P1988</f>
        <v>#REF!</v>
      </c>
      <c r="Z785" s="63">
        <f>SUM(AA785:AO785)</f>
        <v>8909057.3100000005</v>
      </c>
      <c r="AA785" s="64">
        <v>0</v>
      </c>
      <c r="AB785" s="64">
        <v>0</v>
      </c>
      <c r="AC785" s="64">
        <v>0</v>
      </c>
      <c r="AD785" s="64">
        <v>0</v>
      </c>
      <c r="AE785" s="64">
        <v>0</v>
      </c>
      <c r="AF785" s="64"/>
      <c r="AG785" s="64">
        <v>0</v>
      </c>
      <c r="AH785" s="64">
        <v>0</v>
      </c>
      <c r="AI785" s="64">
        <v>0</v>
      </c>
      <c r="AJ785" s="64">
        <v>0</v>
      </c>
      <c r="AK785" s="64">
        <v>0</v>
      </c>
      <c r="AL785" s="64">
        <v>7759379.1003737403</v>
      </c>
      <c r="AM785" s="64">
        <v>890905.73100000015</v>
      </c>
      <c r="AN785" s="65">
        <v>89090.573100000009</v>
      </c>
      <c r="AO785" s="66">
        <v>169681.90552626003</v>
      </c>
      <c r="AP785" s="128">
        <f>+N785-'Приложение №2'!E794</f>
        <v>0</v>
      </c>
      <c r="AQ785" s="23">
        <v>1829014.85</v>
      </c>
      <c r="AR785" s="25">
        <f>+(K785*10+L785*20)*12*0.85</f>
        <v>433785.59999999998</v>
      </c>
      <c r="AS785" s="25">
        <f>+(K785*10+L785*20)*12*30</f>
        <v>15310080</v>
      </c>
      <c r="AT785" s="127">
        <f>+S785-AS785</f>
        <v>-11363441.44447374</v>
      </c>
      <c r="AU785" s="127">
        <f>+P785-'[6]Приложение №1'!$P448</f>
        <v>-331357.31247093313</v>
      </c>
      <c r="AV785" s="127">
        <f>+Q785-'[6]Приложение №1'!$Q448</f>
        <v>0</v>
      </c>
      <c r="AW785" s="63">
        <f>SUBTOTAL(9,AX785:BL785)</f>
        <v>6209439.0055262595</v>
      </c>
      <c r="AX785" s="64">
        <v>0</v>
      </c>
      <c r="AY785" s="64">
        <v>0</v>
      </c>
      <c r="AZ785" s="64">
        <v>0</v>
      </c>
      <c r="BA785" s="64">
        <v>0</v>
      </c>
      <c r="BB785" s="64">
        <v>0</v>
      </c>
      <c r="BC785" s="64"/>
      <c r="BD785" s="64"/>
      <c r="BE785" s="64">
        <v>0</v>
      </c>
      <c r="BF785" s="64">
        <v>0</v>
      </c>
      <c r="BG785" s="64">
        <v>0</v>
      </c>
      <c r="BH785" s="64">
        <v>0</v>
      </c>
      <c r="BI785" s="64">
        <v>6039757.0999999996</v>
      </c>
      <c r="BJ785" s="64"/>
      <c r="BK785" s="65"/>
      <c r="BL785" s="66">
        <v>169681.90552626003</v>
      </c>
    </row>
    <row r="786" spans="1:64" x14ac:dyDescent="0.25">
      <c r="A786" s="141">
        <f t="shared" si="503"/>
        <v>767</v>
      </c>
      <c r="B786" s="142">
        <f t="shared" si="504"/>
        <v>309</v>
      </c>
      <c r="C786" s="62" t="s">
        <v>63</v>
      </c>
      <c r="D786" s="62" t="s">
        <v>898</v>
      </c>
      <c r="E786" s="123">
        <v>1995</v>
      </c>
      <c r="F786" s="123">
        <v>1995</v>
      </c>
      <c r="G786" s="123" t="s">
        <v>43</v>
      </c>
      <c r="H786" s="123">
        <v>5</v>
      </c>
      <c r="I786" s="123">
        <v>4</v>
      </c>
      <c r="J786" s="64">
        <v>4970.7</v>
      </c>
      <c r="K786" s="64">
        <v>4454.7</v>
      </c>
      <c r="L786" s="64">
        <v>0</v>
      </c>
      <c r="M786" s="124">
        <v>173</v>
      </c>
      <c r="N786" s="63">
        <f t="shared" si="502"/>
        <v>1513766.7257999999</v>
      </c>
      <c r="O786" s="64"/>
      <c r="P786" s="65"/>
      <c r="Q786" s="65"/>
      <c r="R786" s="65">
        <f>+'Приложение №2'!E795</f>
        <v>1513766.7257999999</v>
      </c>
      <c r="S786" s="65">
        <f>+'Приложение №2'!E795-'Приложение №1'!R786</f>
        <v>0</v>
      </c>
      <c r="T786" s="65">
        <v>0</v>
      </c>
      <c r="U786" s="65">
        <f t="shared" si="533"/>
        <v>339.81339389857902</v>
      </c>
      <c r="V786" s="65">
        <v>1426.2830200640001</v>
      </c>
      <c r="W786" s="126">
        <v>2024</v>
      </c>
      <c r="X786" s="127">
        <f>+S786-'[1]Приложение №1'!$P894</f>
        <v>-2193864.8199999998</v>
      </c>
      <c r="Z786" s="63">
        <f t="shared" si="540"/>
        <v>2193864.8199999998</v>
      </c>
      <c r="AA786" s="64">
        <v>0</v>
      </c>
      <c r="AB786" s="64">
        <v>0</v>
      </c>
      <c r="AC786" s="64">
        <v>0</v>
      </c>
      <c r="AD786" s="64">
        <v>0</v>
      </c>
      <c r="AE786" s="64">
        <v>1481372.1178678798</v>
      </c>
      <c r="AF786" s="64"/>
      <c r="AG786" s="64">
        <v>0</v>
      </c>
      <c r="AH786" s="64">
        <v>0</v>
      </c>
      <c r="AI786" s="64">
        <v>0</v>
      </c>
      <c r="AJ786" s="64">
        <v>0</v>
      </c>
      <c r="AK786" s="64">
        <v>0</v>
      </c>
      <c r="AL786" s="64">
        <v>0</v>
      </c>
      <c r="AM786" s="64">
        <v>658159.44599999988</v>
      </c>
      <c r="AN786" s="65">
        <v>21938.6482</v>
      </c>
      <c r="AO786" s="66">
        <v>32394.607932119998</v>
      </c>
      <c r="AP786" s="128">
        <f>+N786-'Приложение №2'!E795</f>
        <v>0</v>
      </c>
      <c r="AQ786" s="23">
        <f>2319470.66-250624.417-560475.56</f>
        <v>1508370.6830000002</v>
      </c>
      <c r="AR786" s="25">
        <f t="shared" si="518"/>
        <v>477098.36999999994</v>
      </c>
      <c r="AS786" s="25">
        <f>+(K786*10.5+L786*21)*12*30-797057.91-3909441.68</f>
        <v>12132266.41</v>
      </c>
      <c r="AT786" s="127">
        <f t="shared" si="534"/>
        <v>-12132266.41</v>
      </c>
      <c r="AU786" s="127">
        <f>+P786-'[6]Приложение №1'!$P706</f>
        <v>0</v>
      </c>
      <c r="AV786" s="127">
        <f>+Q786-'[6]Приложение №1'!$Q706</f>
        <v>0</v>
      </c>
      <c r="AW786" s="88">
        <f t="shared" si="481"/>
        <v>1513766.7257999999</v>
      </c>
      <c r="AX786" s="64">
        <v>0</v>
      </c>
      <c r="AY786" s="64">
        <v>0</v>
      </c>
      <c r="AZ786" s="64">
        <v>0</v>
      </c>
      <c r="BA786" s="64">
        <v>0</v>
      </c>
      <c r="BB786" s="64">
        <v>1481372.1178678798</v>
      </c>
      <c r="BC786" s="64"/>
      <c r="BD786" s="64"/>
      <c r="BE786" s="64">
        <v>0</v>
      </c>
      <c r="BF786" s="64">
        <v>0</v>
      </c>
      <c r="BG786" s="64">
        <v>0</v>
      </c>
      <c r="BH786" s="64">
        <v>0</v>
      </c>
      <c r="BI786" s="64">
        <v>0</v>
      </c>
      <c r="BJ786" s="64"/>
      <c r="BK786" s="65"/>
      <c r="BL786" s="66">
        <v>32394.607932119998</v>
      </c>
    </row>
    <row r="787" spans="1:64" x14ac:dyDescent="0.25">
      <c r="A787" s="141">
        <f t="shared" si="503"/>
        <v>768</v>
      </c>
      <c r="B787" s="142">
        <f t="shared" si="504"/>
        <v>310</v>
      </c>
      <c r="C787" s="62" t="s">
        <v>63</v>
      </c>
      <c r="D787" s="62" t="s">
        <v>899</v>
      </c>
      <c r="E787" s="123">
        <v>1982</v>
      </c>
      <c r="F787" s="123">
        <v>2009</v>
      </c>
      <c r="G787" s="123" t="s">
        <v>43</v>
      </c>
      <c r="H787" s="123">
        <v>5</v>
      </c>
      <c r="I787" s="123">
        <v>2</v>
      </c>
      <c r="J787" s="64">
        <v>1767.9</v>
      </c>
      <c r="K787" s="64">
        <v>1603</v>
      </c>
      <c r="L787" s="64">
        <v>0</v>
      </c>
      <c r="M787" s="124">
        <v>65</v>
      </c>
      <c r="N787" s="63">
        <f t="shared" si="502"/>
        <v>543894.30090000003</v>
      </c>
      <c r="O787" s="64"/>
      <c r="P787" s="65"/>
      <c r="Q787" s="65"/>
      <c r="R787" s="65">
        <f t="shared" ref="R787:R788" si="544">+AQ787+AR787</f>
        <v>169086.53000000003</v>
      </c>
      <c r="S787" s="65">
        <f>+'Приложение №2'!E796-'Приложение №1'!R787</f>
        <v>374807.7709</v>
      </c>
      <c r="T787" s="65">
        <v>0</v>
      </c>
      <c r="U787" s="65">
        <f t="shared" si="533"/>
        <v>339.29775477230197</v>
      </c>
      <c r="V787" s="65">
        <v>1427.2830200640001</v>
      </c>
      <c r="W787" s="126">
        <v>2024</v>
      </c>
      <c r="X787" s="127" t="e">
        <f>+#REF!-'[1]Приложение №1'!$P895</f>
        <v>#REF!</v>
      </c>
      <c r="Z787" s="63">
        <f t="shared" si="540"/>
        <v>788252.6100000001</v>
      </c>
      <c r="AA787" s="64">
        <v>0</v>
      </c>
      <c r="AB787" s="64">
        <v>0</v>
      </c>
      <c r="AC787" s="64">
        <v>0</v>
      </c>
      <c r="AD787" s="64">
        <v>0</v>
      </c>
      <c r="AE787" s="64">
        <v>532254.96286074002</v>
      </c>
      <c r="AF787" s="64"/>
      <c r="AG787" s="64">
        <v>0</v>
      </c>
      <c r="AH787" s="64">
        <v>0</v>
      </c>
      <c r="AI787" s="64">
        <v>0</v>
      </c>
      <c r="AJ787" s="64">
        <v>0</v>
      </c>
      <c r="AK787" s="64">
        <v>0</v>
      </c>
      <c r="AL787" s="64">
        <v>0</v>
      </c>
      <c r="AM787" s="64">
        <v>236475.783</v>
      </c>
      <c r="AN787" s="65">
        <v>7882.5261</v>
      </c>
      <c r="AO787" s="66">
        <v>11639.338039260001</v>
      </c>
      <c r="AP787" s="128">
        <f>+N787-'Приложение №2'!E796</f>
        <v>0</v>
      </c>
      <c r="AQ787" s="23">
        <f>793617.92-'[2]Приложение №1'!$R$136-'[2]Приложение №1'!$R$188</f>
        <v>-2594.7699999999604</v>
      </c>
      <c r="AR787" s="25">
        <f t="shared" si="518"/>
        <v>171681.3</v>
      </c>
      <c r="AS787" s="25">
        <f>+(K787*10.5+L787*21)*12*30-'[2]Приложение №1'!$S$136-'[2]Приложение №1'!$S$188</f>
        <v>5128600.51</v>
      </c>
      <c r="AT787" s="127">
        <f t="shared" si="534"/>
        <v>-4753792.7390999999</v>
      </c>
      <c r="AU787" s="127">
        <f>+P787-'[6]Приложение №1'!$P707</f>
        <v>0</v>
      </c>
      <c r="AV787" s="127">
        <f>+Q787-'[6]Приложение №1'!$Q707</f>
        <v>0</v>
      </c>
      <c r="AW787" s="88">
        <f t="shared" si="481"/>
        <v>543894.30090000003</v>
      </c>
      <c r="AX787" s="64">
        <v>0</v>
      </c>
      <c r="AY787" s="64">
        <v>0</v>
      </c>
      <c r="AZ787" s="64">
        <v>0</v>
      </c>
      <c r="BA787" s="64">
        <v>0</v>
      </c>
      <c r="BB787" s="64">
        <v>532254.96286074002</v>
      </c>
      <c r="BC787" s="64"/>
      <c r="BD787" s="64"/>
      <c r="BE787" s="64">
        <v>0</v>
      </c>
      <c r="BF787" s="64">
        <v>0</v>
      </c>
      <c r="BG787" s="64">
        <v>0</v>
      </c>
      <c r="BH787" s="64">
        <v>0</v>
      </c>
      <c r="BI787" s="64">
        <v>0</v>
      </c>
      <c r="BJ787" s="64"/>
      <c r="BK787" s="65"/>
      <c r="BL787" s="66">
        <v>11639.338039260001</v>
      </c>
    </row>
    <row r="788" spans="1:64" x14ac:dyDescent="0.25">
      <c r="A788" s="141">
        <f t="shared" si="503"/>
        <v>769</v>
      </c>
      <c r="B788" s="142">
        <f t="shared" si="504"/>
        <v>311</v>
      </c>
      <c r="C788" s="62" t="s">
        <v>63</v>
      </c>
      <c r="D788" s="62" t="s">
        <v>1160</v>
      </c>
      <c r="E788" s="123">
        <v>1992</v>
      </c>
      <c r="F788" s="123">
        <v>1992</v>
      </c>
      <c r="G788" s="123" t="s">
        <v>43</v>
      </c>
      <c r="H788" s="123">
        <v>5</v>
      </c>
      <c r="I788" s="123">
        <v>2</v>
      </c>
      <c r="J788" s="64">
        <v>1787.3</v>
      </c>
      <c r="K788" s="64">
        <v>1278.2</v>
      </c>
      <c r="L788" s="64">
        <v>214.2</v>
      </c>
      <c r="M788" s="124">
        <v>44</v>
      </c>
      <c r="N788" s="63">
        <f t="shared" si="502"/>
        <v>536732.4389999999</v>
      </c>
      <c r="O788" s="64"/>
      <c r="P788" s="65"/>
      <c r="Q788" s="65"/>
      <c r="R788" s="65">
        <f t="shared" si="544"/>
        <v>262296.14</v>
      </c>
      <c r="S788" s="65">
        <f>+'Приложение №2'!E797-'Приложение №1'!R788</f>
        <v>274436.29899999988</v>
      </c>
      <c r="T788" s="65">
        <v>0</v>
      </c>
      <c r="U788" s="65">
        <f t="shared" si="533"/>
        <v>419.91272023157558</v>
      </c>
      <c r="V788" s="65">
        <v>1428.2830200640001</v>
      </c>
      <c r="W788" s="126">
        <v>2024</v>
      </c>
      <c r="X788" s="127" t="e">
        <f>+#REF!-'[1]Приложение №1'!$P896</f>
        <v>#REF!</v>
      </c>
      <c r="Z788" s="63">
        <f t="shared" si="540"/>
        <v>777873.09999999986</v>
      </c>
      <c r="AA788" s="64">
        <v>0</v>
      </c>
      <c r="AB788" s="64">
        <v>0</v>
      </c>
      <c r="AC788" s="64">
        <v>0</v>
      </c>
      <c r="AD788" s="64">
        <v>0</v>
      </c>
      <c r="AE788" s="64">
        <v>525246.36480539991</v>
      </c>
      <c r="AF788" s="64"/>
      <c r="AG788" s="64">
        <v>0</v>
      </c>
      <c r="AH788" s="64">
        <v>0</v>
      </c>
      <c r="AI788" s="64">
        <v>0</v>
      </c>
      <c r="AJ788" s="64">
        <v>0</v>
      </c>
      <c r="AK788" s="64">
        <v>0</v>
      </c>
      <c r="AL788" s="64">
        <v>0</v>
      </c>
      <c r="AM788" s="64">
        <v>233361.93</v>
      </c>
      <c r="AN788" s="65">
        <v>7778.7309999999998</v>
      </c>
      <c r="AO788" s="66">
        <v>11486.074194599998</v>
      </c>
      <c r="AP788" s="128">
        <f>+N788-'Приложение №2'!E797</f>
        <v>0</v>
      </c>
      <c r="AQ788" s="23">
        <f>881998.75-'[2]Приложение №1'!$R$137-'[2]Приложение №1'!$R$189</f>
        <v>79519.280000000028</v>
      </c>
      <c r="AR788" s="25">
        <f t="shared" si="518"/>
        <v>182776.86</v>
      </c>
      <c r="AS788" s="25">
        <f>+(K788*10.5+L788*21)*12*30-'[2]Приложение №1'!$S$189</f>
        <v>5883475.8999999994</v>
      </c>
      <c r="AT788" s="127">
        <f t="shared" si="534"/>
        <v>-5609039.6009999998</v>
      </c>
      <c r="AU788" s="127">
        <f>+P788-'[6]Приложение №1'!$P708</f>
        <v>0</v>
      </c>
      <c r="AV788" s="127">
        <f>+Q788-'[6]Приложение №1'!$Q708</f>
        <v>0</v>
      </c>
      <c r="AW788" s="88">
        <f t="shared" si="481"/>
        <v>536732.4389999999</v>
      </c>
      <c r="AX788" s="64">
        <v>0</v>
      </c>
      <c r="AY788" s="64">
        <v>0</v>
      </c>
      <c r="AZ788" s="64">
        <v>0</v>
      </c>
      <c r="BA788" s="64">
        <v>0</v>
      </c>
      <c r="BB788" s="64">
        <v>525246.36480539991</v>
      </c>
      <c r="BC788" s="64"/>
      <c r="BD788" s="64"/>
      <c r="BE788" s="64">
        <v>0</v>
      </c>
      <c r="BF788" s="64">
        <v>0</v>
      </c>
      <c r="BG788" s="64">
        <v>0</v>
      </c>
      <c r="BH788" s="64">
        <v>0</v>
      </c>
      <c r="BI788" s="64">
        <v>0</v>
      </c>
      <c r="BJ788" s="64"/>
      <c r="BK788" s="65"/>
      <c r="BL788" s="66">
        <v>11486.074194599998</v>
      </c>
    </row>
    <row r="789" spans="1:64" x14ac:dyDescent="0.25">
      <c r="A789" s="141">
        <f t="shared" si="503"/>
        <v>770</v>
      </c>
      <c r="B789" s="142">
        <f t="shared" si="504"/>
        <v>312</v>
      </c>
      <c r="C789" s="62" t="s">
        <v>63</v>
      </c>
      <c r="D789" s="62" t="s">
        <v>900</v>
      </c>
      <c r="E789" s="123">
        <v>1974</v>
      </c>
      <c r="F789" s="123">
        <v>1974</v>
      </c>
      <c r="G789" s="123" t="s">
        <v>43</v>
      </c>
      <c r="H789" s="123">
        <v>2</v>
      </c>
      <c r="I789" s="123">
        <v>3</v>
      </c>
      <c r="J789" s="64">
        <v>1039.5</v>
      </c>
      <c r="K789" s="64">
        <v>915.4</v>
      </c>
      <c r="L789" s="64">
        <v>0</v>
      </c>
      <c r="M789" s="124">
        <v>39</v>
      </c>
      <c r="N789" s="63">
        <f t="shared" si="502"/>
        <v>367776.86744473106</v>
      </c>
      <c r="O789" s="64"/>
      <c r="P789" s="65"/>
      <c r="Q789" s="65"/>
      <c r="R789" s="65">
        <f>+'Приложение №2'!E798</f>
        <v>367776.86744473106</v>
      </c>
      <c r="S789" s="65">
        <f>+'Приложение №2'!E798-'Приложение №1'!R789</f>
        <v>0</v>
      </c>
      <c r="T789" s="65">
        <v>0</v>
      </c>
      <c r="U789" s="65">
        <f t="shared" si="533"/>
        <v>401.76629609430967</v>
      </c>
      <c r="V789" s="65">
        <v>1429.2830200640001</v>
      </c>
      <c r="W789" s="126">
        <v>2024</v>
      </c>
      <c r="X789" s="127" t="e">
        <f>+#REF!-'[1]Приложение №1'!$P545</f>
        <v>#REF!</v>
      </c>
      <c r="Z789" s="63">
        <f t="shared" si="540"/>
        <v>3610896</v>
      </c>
      <c r="AA789" s="64">
        <v>2740937.5436570398</v>
      </c>
      <c r="AB789" s="64">
        <v>0</v>
      </c>
      <c r="AC789" s="64">
        <v>0</v>
      </c>
      <c r="AD789" s="64">
        <v>0</v>
      </c>
      <c r="AE789" s="64">
        <v>359906.44733063993</v>
      </c>
      <c r="AF789" s="64"/>
      <c r="AG789" s="64">
        <v>0</v>
      </c>
      <c r="AH789" s="64">
        <v>0</v>
      </c>
      <c r="AI789" s="64">
        <v>0</v>
      </c>
      <c r="AJ789" s="64">
        <v>0</v>
      </c>
      <c r="AK789" s="64">
        <v>0</v>
      </c>
      <c r="AL789" s="64">
        <v>0</v>
      </c>
      <c r="AM789" s="64">
        <v>406133.87119999999</v>
      </c>
      <c r="AN789" s="65">
        <v>36108.959999999999</v>
      </c>
      <c r="AO789" s="66">
        <v>67809.177812320006</v>
      </c>
      <c r="AP789" s="128">
        <f>+N789-'Приложение №2'!E798</f>
        <v>0</v>
      </c>
      <c r="AQ789" s="23">
        <f>488439.9-73856.3028</f>
        <v>414583.59720000002</v>
      </c>
      <c r="AR789" s="25">
        <f t="shared" si="518"/>
        <v>98039.34</v>
      </c>
      <c r="AS789" s="25">
        <f>+(K789*10.5+L789*21)*12*30-396640.91</f>
        <v>3063571.09</v>
      </c>
      <c r="AT789" s="127">
        <f t="shared" si="534"/>
        <v>-3063571.09</v>
      </c>
      <c r="AU789" s="127">
        <f>+P789-'[6]Приложение №1'!$P709</f>
        <v>0</v>
      </c>
      <c r="AV789" s="127">
        <f>+Q789-'[6]Приложение №1'!$Q709</f>
        <v>0</v>
      </c>
      <c r="AW789" s="88">
        <f t="shared" si="481"/>
        <v>367776.86744473106</v>
      </c>
      <c r="AX789" s="64"/>
      <c r="AY789" s="64">
        <v>0</v>
      </c>
      <c r="AZ789" s="64">
        <v>0</v>
      </c>
      <c r="BA789" s="64">
        <v>0</v>
      </c>
      <c r="BB789" s="64">
        <v>359906.44733063993</v>
      </c>
      <c r="BC789" s="64"/>
      <c r="BD789" s="64"/>
      <c r="BE789" s="64">
        <v>0</v>
      </c>
      <c r="BF789" s="64">
        <v>0</v>
      </c>
      <c r="BG789" s="64">
        <v>0</v>
      </c>
      <c r="BH789" s="64">
        <v>0</v>
      </c>
      <c r="BI789" s="64">
        <v>0</v>
      </c>
      <c r="BJ789" s="64"/>
      <c r="BK789" s="65"/>
      <c r="BL789" s="66">
        <v>7870.4201140911273</v>
      </c>
    </row>
    <row r="790" spans="1:64" x14ac:dyDescent="0.25">
      <c r="A790" s="141">
        <f t="shared" si="503"/>
        <v>771</v>
      </c>
      <c r="B790" s="142">
        <f t="shared" si="504"/>
        <v>313</v>
      </c>
      <c r="C790" s="62" t="s">
        <v>63</v>
      </c>
      <c r="D790" s="62" t="s">
        <v>895</v>
      </c>
      <c r="E790" s="123">
        <v>1971</v>
      </c>
      <c r="F790" s="123">
        <v>2011</v>
      </c>
      <c r="G790" s="123" t="s">
        <v>43</v>
      </c>
      <c r="H790" s="123">
        <v>5</v>
      </c>
      <c r="I790" s="123">
        <v>4</v>
      </c>
      <c r="J790" s="64">
        <v>3534.8</v>
      </c>
      <c r="K790" s="64">
        <v>2494.1</v>
      </c>
      <c r="L790" s="64">
        <v>875.9</v>
      </c>
      <c r="M790" s="124">
        <v>129</v>
      </c>
      <c r="N790" s="95">
        <f>+P790+Q790+R790+S790+T790</f>
        <v>4028819.6753626801</v>
      </c>
      <c r="O790" s="64"/>
      <c r="P790" s="65"/>
      <c r="Q790" s="65"/>
      <c r="R790" s="65">
        <v>1393368.6</v>
      </c>
      <c r="S790" s="65">
        <v>568068.71999999974</v>
      </c>
      <c r="T790" s="65">
        <f>+'Приложение №2'!E799-'Приложение №1'!P790-'Приложение №1'!R790-'Приложение №1'!S790</f>
        <v>2067382.3553626803</v>
      </c>
      <c r="U790" s="64">
        <f>$N790/($K790+$L790)</f>
        <v>1195.4954526298754</v>
      </c>
      <c r="V790" s="64">
        <f>$N790/($K790+$L790)</f>
        <v>1195.4954526298754</v>
      </c>
      <c r="W790" s="126">
        <v>2024</v>
      </c>
      <c r="X790" s="127" t="e">
        <f>+#REF!-'[1]Приложение №1'!$P1546</f>
        <v>#REF!</v>
      </c>
      <c r="Z790" s="63">
        <f>SUM(AA790:AO790)</f>
        <v>10838098.81182522</v>
      </c>
      <c r="AA790" s="64"/>
      <c r="AB790" s="64">
        <v>0</v>
      </c>
      <c r="AC790" s="64">
        <v>0</v>
      </c>
      <c r="AD790" s="64">
        <v>0</v>
      </c>
      <c r="AE790" s="64">
        <v>1101213.72829692</v>
      </c>
      <c r="AF790" s="64"/>
      <c r="AG790" s="64">
        <v>0</v>
      </c>
      <c r="AH790" s="64">
        <v>0</v>
      </c>
      <c r="AI790" s="64">
        <v>0</v>
      </c>
      <c r="AJ790" s="64">
        <v>0</v>
      </c>
      <c r="AK790" s="64">
        <v>0</v>
      </c>
      <c r="AL790" s="64">
        <v>7387688.3326625396</v>
      </c>
      <c r="AM790" s="64">
        <v>1867251.8873999999</v>
      </c>
      <c r="AN790" s="65">
        <v>167352.03419999999</v>
      </c>
      <c r="AO790" s="66">
        <v>314592.82926576003</v>
      </c>
      <c r="AP790" s="128">
        <f>+N790-'Приложение №2'!E799</f>
        <v>0</v>
      </c>
      <c r="AQ790" s="23">
        <f>1768332.06-808045.26</f>
        <v>960286.8</v>
      </c>
      <c r="AR790" s="25">
        <f>+(K790*10+L790*20)*12*0.85</f>
        <v>433081.8</v>
      </c>
      <c r="AS790" s="25">
        <f>+(K790*10+L790*20)*12*30-2725603.24</f>
        <v>12559636.76</v>
      </c>
      <c r="AT790" s="127">
        <f>+S790-AS790</f>
        <v>-11991568.039999999</v>
      </c>
      <c r="AU790" s="127">
        <f>+P790-'[6]Приложение №1'!$P453</f>
        <v>-1104159.1966666665</v>
      </c>
      <c r="AV790" s="127">
        <f>+Q790-'[6]Приложение №1'!$Q453</f>
        <v>0</v>
      </c>
      <c r="AW790" s="63">
        <f>SUBTOTAL(9,AX790:BL790)</f>
        <v>4028819.6753626801</v>
      </c>
      <c r="AX790" s="64"/>
      <c r="AY790" s="64">
        <v>0</v>
      </c>
      <c r="AZ790" s="64">
        <v>0</v>
      </c>
      <c r="BA790" s="64">
        <v>0</v>
      </c>
      <c r="BB790" s="64"/>
      <c r="BC790" s="64"/>
      <c r="BD790" s="64"/>
      <c r="BE790" s="64">
        <v>0</v>
      </c>
      <c r="BF790" s="64">
        <v>0</v>
      </c>
      <c r="BG790" s="64">
        <v>0</v>
      </c>
      <c r="BH790" s="64">
        <v>0</v>
      </c>
      <c r="BI790" s="64">
        <v>3738308.16</v>
      </c>
      <c r="BJ790" s="64"/>
      <c r="BK790" s="65"/>
      <c r="BL790" s="66">
        <v>290511.51536268002</v>
      </c>
    </row>
    <row r="791" spans="1:64" x14ac:dyDescent="0.25">
      <c r="A791" s="141">
        <f t="shared" si="503"/>
        <v>772</v>
      </c>
      <c r="B791" s="142">
        <f t="shared" si="504"/>
        <v>314</v>
      </c>
      <c r="C791" s="62" t="s">
        <v>63</v>
      </c>
      <c r="D791" s="62" t="s">
        <v>901</v>
      </c>
      <c r="E791" s="123">
        <v>1987</v>
      </c>
      <c r="F791" s="123">
        <v>2009</v>
      </c>
      <c r="G791" s="123" t="s">
        <v>43</v>
      </c>
      <c r="H791" s="123">
        <v>5</v>
      </c>
      <c r="I791" s="123">
        <v>6</v>
      </c>
      <c r="J791" s="64">
        <v>7333.8</v>
      </c>
      <c r="K791" s="64">
        <v>6313.3</v>
      </c>
      <c r="L791" s="64">
        <v>0</v>
      </c>
      <c r="M791" s="124">
        <v>271</v>
      </c>
      <c r="N791" s="63">
        <f t="shared" ref="N791:N795" si="545">SUM(O791:T791)</f>
        <v>2143162.1283</v>
      </c>
      <c r="O791" s="64"/>
      <c r="P791" s="65"/>
      <c r="Q791" s="65"/>
      <c r="R791" s="65">
        <f>+'Приложение №2'!E800</f>
        <v>2143162.1283</v>
      </c>
      <c r="S791" s="65">
        <f>+'Приложение №2'!E800-'Приложение №1'!R791</f>
        <v>0</v>
      </c>
      <c r="T791" s="65">
        <v>0</v>
      </c>
      <c r="U791" s="65">
        <f t="shared" si="533"/>
        <v>339.46781054282229</v>
      </c>
      <c r="V791" s="65">
        <v>1430.2830200640001</v>
      </c>
      <c r="W791" s="126">
        <v>2024</v>
      </c>
      <c r="X791" s="127" t="e">
        <f>+#REF!-'[1]Приложение №1'!$P899</f>
        <v>#REF!</v>
      </c>
      <c r="Z791" s="63">
        <f t="shared" si="540"/>
        <v>3106032.07</v>
      </c>
      <c r="AA791" s="64">
        <v>0</v>
      </c>
      <c r="AB791" s="64">
        <v>0</v>
      </c>
      <c r="AC791" s="64">
        <v>0</v>
      </c>
      <c r="AD791" s="64">
        <v>0</v>
      </c>
      <c r="AE791" s="64">
        <v>2097298.4587543798</v>
      </c>
      <c r="AF791" s="64"/>
      <c r="AG791" s="64">
        <v>0</v>
      </c>
      <c r="AH791" s="64">
        <v>0</v>
      </c>
      <c r="AI791" s="64">
        <v>0</v>
      </c>
      <c r="AJ791" s="64">
        <v>0</v>
      </c>
      <c r="AK791" s="64">
        <v>0</v>
      </c>
      <c r="AL791" s="64">
        <v>0</v>
      </c>
      <c r="AM791" s="64">
        <v>931809.62099999993</v>
      </c>
      <c r="AN791" s="65">
        <v>31060.3207</v>
      </c>
      <c r="AO791" s="66">
        <v>45863.669545620003</v>
      </c>
      <c r="AP791" s="128">
        <f>+N791-'Приложение №2'!E800</f>
        <v>0</v>
      </c>
      <c r="AQ791" s="23">
        <f>3434079.76-1658423.09</f>
        <v>1775656.6699999997</v>
      </c>
      <c r="AR791" s="25">
        <f t="shared" si="518"/>
        <v>676154.43</v>
      </c>
      <c r="AS791" s="25">
        <f>+(K791*10.5+L791*21)*12*30-11045.36</f>
        <v>23853228.640000001</v>
      </c>
      <c r="AT791" s="127">
        <f t="shared" si="534"/>
        <v>-23853228.640000001</v>
      </c>
      <c r="AU791" s="127">
        <f>+P791-'[6]Приложение №1'!$P710</f>
        <v>0</v>
      </c>
      <c r="AV791" s="127">
        <f>+Q791-'[6]Приложение №1'!$Q710</f>
        <v>0</v>
      </c>
      <c r="AW791" s="88">
        <f t="shared" ref="AW791:AW795" si="546">SUBTOTAL(9,AX791:BL791)</f>
        <v>2143162.1283</v>
      </c>
      <c r="AX791" s="64">
        <v>0</v>
      </c>
      <c r="AY791" s="64">
        <v>0</v>
      </c>
      <c r="AZ791" s="64">
        <v>0</v>
      </c>
      <c r="BA791" s="64">
        <v>0</v>
      </c>
      <c r="BB791" s="64">
        <v>2097298.4587543798</v>
      </c>
      <c r="BC791" s="64"/>
      <c r="BD791" s="64"/>
      <c r="BE791" s="64">
        <v>0</v>
      </c>
      <c r="BF791" s="64">
        <v>0</v>
      </c>
      <c r="BG791" s="64">
        <v>0</v>
      </c>
      <c r="BH791" s="64">
        <v>0</v>
      </c>
      <c r="BI791" s="64">
        <v>0</v>
      </c>
      <c r="BJ791" s="64"/>
      <c r="BK791" s="65"/>
      <c r="BL791" s="66">
        <v>45863.669545620003</v>
      </c>
    </row>
    <row r="792" spans="1:64" x14ac:dyDescent="0.25">
      <c r="A792" s="141">
        <f t="shared" si="503"/>
        <v>773</v>
      </c>
      <c r="B792" s="142">
        <f t="shared" si="504"/>
        <v>315</v>
      </c>
      <c r="C792" s="62" t="s">
        <v>63</v>
      </c>
      <c r="D792" s="62" t="s">
        <v>902</v>
      </c>
      <c r="E792" s="123">
        <v>1981</v>
      </c>
      <c r="F792" s="123">
        <v>2010</v>
      </c>
      <c r="G792" s="123" t="s">
        <v>43</v>
      </c>
      <c r="H792" s="123">
        <v>4</v>
      </c>
      <c r="I792" s="123">
        <v>6</v>
      </c>
      <c r="J792" s="64">
        <v>5677</v>
      </c>
      <c r="K792" s="64">
        <v>4920.8</v>
      </c>
      <c r="L792" s="64">
        <v>0</v>
      </c>
      <c r="M792" s="124">
        <v>222</v>
      </c>
      <c r="N792" s="63">
        <f t="shared" si="545"/>
        <v>1668917.8005000001</v>
      </c>
      <c r="O792" s="64"/>
      <c r="P792" s="65"/>
      <c r="Q792" s="65"/>
      <c r="R792" s="65">
        <f>+AQ792+AR792</f>
        <v>1649108.37</v>
      </c>
      <c r="S792" s="65">
        <f>+'Приложение №2'!E801-'Приложение №1'!R792</f>
        <v>19809.430500000017</v>
      </c>
      <c r="T792" s="65">
        <v>0</v>
      </c>
      <c r="U792" s="65">
        <f t="shared" si="533"/>
        <v>339.15578777841</v>
      </c>
      <c r="V792" s="65">
        <v>1431.2830200640001</v>
      </c>
      <c r="W792" s="126">
        <v>2024</v>
      </c>
      <c r="X792" s="127" t="e">
        <f>+#REF!-'[1]Приложение №1'!$P900</f>
        <v>#REF!</v>
      </c>
      <c r="Z792" s="63">
        <f t="shared" si="540"/>
        <v>2418721.4499999997</v>
      </c>
      <c r="AA792" s="64">
        <v>0</v>
      </c>
      <c r="AB792" s="64">
        <v>0</v>
      </c>
      <c r="AC792" s="64">
        <v>0</v>
      </c>
      <c r="AD792" s="64">
        <v>0</v>
      </c>
      <c r="AE792" s="64">
        <v>1633202.9595693001</v>
      </c>
      <c r="AF792" s="64"/>
      <c r="AG792" s="64">
        <v>0</v>
      </c>
      <c r="AH792" s="64">
        <v>0</v>
      </c>
      <c r="AI792" s="64">
        <v>0</v>
      </c>
      <c r="AJ792" s="64">
        <v>0</v>
      </c>
      <c r="AK792" s="64">
        <v>0</v>
      </c>
      <c r="AL792" s="64">
        <v>0</v>
      </c>
      <c r="AM792" s="64">
        <v>725616.43500000006</v>
      </c>
      <c r="AN792" s="65">
        <v>24187.214500000002</v>
      </c>
      <c r="AO792" s="66">
        <v>35714.840930700004</v>
      </c>
      <c r="AP792" s="128">
        <f>+N792-'Приложение №2'!E801</f>
        <v>0</v>
      </c>
      <c r="AQ792" s="23">
        <f>2315426.33-1193335.64</f>
        <v>1122090.6900000002</v>
      </c>
      <c r="AR792" s="25">
        <f t="shared" si="518"/>
        <v>527017.68000000005</v>
      </c>
      <c r="AS792" s="25">
        <f>+(K792*10.5+L792*21)*12*30-284542.24</f>
        <v>18316081.760000002</v>
      </c>
      <c r="AT792" s="127">
        <f t="shared" si="534"/>
        <v>-18296272.329500001</v>
      </c>
      <c r="AU792" s="127">
        <f>+P792-'[6]Приложение №1'!$P711</f>
        <v>0</v>
      </c>
      <c r="AV792" s="127">
        <f>+Q792-'[6]Приложение №1'!$Q711</f>
        <v>0</v>
      </c>
      <c r="AW792" s="88">
        <f t="shared" si="546"/>
        <v>1668917.8005000001</v>
      </c>
      <c r="AX792" s="64">
        <v>0</v>
      </c>
      <c r="AY792" s="64">
        <v>0</v>
      </c>
      <c r="AZ792" s="64">
        <v>0</v>
      </c>
      <c r="BA792" s="64">
        <v>0</v>
      </c>
      <c r="BB792" s="64">
        <v>1633202.9595693001</v>
      </c>
      <c r="BC792" s="64"/>
      <c r="BD792" s="64"/>
      <c r="BE792" s="64">
        <v>0</v>
      </c>
      <c r="BF792" s="64">
        <v>0</v>
      </c>
      <c r="BG792" s="64">
        <v>0</v>
      </c>
      <c r="BH792" s="64">
        <v>0</v>
      </c>
      <c r="BI792" s="64">
        <v>0</v>
      </c>
      <c r="BJ792" s="64"/>
      <c r="BK792" s="65"/>
      <c r="BL792" s="66">
        <v>35714.840930700004</v>
      </c>
    </row>
    <row r="793" spans="1:64" x14ac:dyDescent="0.25">
      <c r="A793" s="141">
        <f t="shared" si="503"/>
        <v>774</v>
      </c>
      <c r="B793" s="142">
        <f t="shared" si="504"/>
        <v>316</v>
      </c>
      <c r="C793" s="62" t="s">
        <v>63</v>
      </c>
      <c r="D793" s="62" t="s">
        <v>903</v>
      </c>
      <c r="E793" s="123">
        <v>1977</v>
      </c>
      <c r="F793" s="123">
        <v>2010</v>
      </c>
      <c r="G793" s="123" t="s">
        <v>43</v>
      </c>
      <c r="H793" s="123">
        <v>4</v>
      </c>
      <c r="I793" s="123">
        <v>4</v>
      </c>
      <c r="J793" s="64">
        <v>4061.6</v>
      </c>
      <c r="K793" s="64">
        <v>3500</v>
      </c>
      <c r="L793" s="64">
        <v>0</v>
      </c>
      <c r="M793" s="124">
        <v>135</v>
      </c>
      <c r="N793" s="63">
        <f t="shared" si="545"/>
        <v>1090164.3753000002</v>
      </c>
      <c r="O793" s="64"/>
      <c r="P793" s="65"/>
      <c r="Q793" s="65"/>
      <c r="R793" s="65">
        <f>+'Приложение №2'!E802</f>
        <v>1090164.3753000002</v>
      </c>
      <c r="S793" s="65">
        <f>+'Приложение №2'!E802-'Приложение №1'!R793</f>
        <v>0</v>
      </c>
      <c r="T793" s="65">
        <v>0</v>
      </c>
      <c r="U793" s="65">
        <f t="shared" si="533"/>
        <v>311.47553580000005</v>
      </c>
      <c r="V793" s="65">
        <v>1432.2830200640001</v>
      </c>
      <c r="W793" s="126">
        <v>2024</v>
      </c>
      <c r="X793" s="127" t="e">
        <f>+#REF!-'[1]Приложение №1'!$P546</f>
        <v>#REF!</v>
      </c>
      <c r="Z793" s="63">
        <f t="shared" si="540"/>
        <v>1579948.37</v>
      </c>
      <c r="AA793" s="64">
        <v>0</v>
      </c>
      <c r="AB793" s="64">
        <v>0</v>
      </c>
      <c r="AC793" s="64">
        <v>0</v>
      </c>
      <c r="AD793" s="64">
        <v>0</v>
      </c>
      <c r="AE793" s="64">
        <v>1066834.8576685803</v>
      </c>
      <c r="AF793" s="64"/>
      <c r="AG793" s="64">
        <v>0</v>
      </c>
      <c r="AH793" s="64">
        <v>0</v>
      </c>
      <c r="AI793" s="64">
        <v>0</v>
      </c>
      <c r="AJ793" s="64">
        <v>0</v>
      </c>
      <c r="AK793" s="64">
        <v>0</v>
      </c>
      <c r="AL793" s="64">
        <v>0</v>
      </c>
      <c r="AM793" s="64">
        <v>473984.511</v>
      </c>
      <c r="AN793" s="65">
        <v>15799.483700000001</v>
      </c>
      <c r="AO793" s="66">
        <v>23329.517631420003</v>
      </c>
      <c r="AP793" s="128">
        <f>+N793-'Приложение №2'!E802</f>
        <v>0</v>
      </c>
      <c r="AQ793" s="38">
        <v>1771943.08</v>
      </c>
      <c r="AR793" s="25">
        <f t="shared" si="518"/>
        <v>374850</v>
      </c>
      <c r="AS793" s="25">
        <f t="shared" ref="AS793:AS794" si="547">+(K793*10.5+L793*21)*12*30</f>
        <v>13230000</v>
      </c>
      <c r="AT793" s="127">
        <f t="shared" si="534"/>
        <v>-13230000</v>
      </c>
      <c r="AU793" s="127">
        <f>+P793-'[6]Приложение №1'!$P712</f>
        <v>0</v>
      </c>
      <c r="AV793" s="127">
        <f>+Q793-'[6]Приложение №1'!$Q712</f>
        <v>0</v>
      </c>
      <c r="AW793" s="88">
        <f t="shared" si="546"/>
        <v>1090164.3753000002</v>
      </c>
      <c r="AX793" s="64">
        <v>0</v>
      </c>
      <c r="AY793" s="64">
        <v>0</v>
      </c>
      <c r="AZ793" s="64">
        <v>0</v>
      </c>
      <c r="BA793" s="64">
        <v>0</v>
      </c>
      <c r="BB793" s="64">
        <v>1066834.8576685803</v>
      </c>
      <c r="BC793" s="64"/>
      <c r="BD793" s="64"/>
      <c r="BE793" s="64">
        <v>0</v>
      </c>
      <c r="BF793" s="64">
        <v>0</v>
      </c>
      <c r="BG793" s="64">
        <v>0</v>
      </c>
      <c r="BH793" s="64">
        <v>0</v>
      </c>
      <c r="BI793" s="64">
        <v>0</v>
      </c>
      <c r="BJ793" s="64"/>
      <c r="BK793" s="65"/>
      <c r="BL793" s="66">
        <v>23329.517631420003</v>
      </c>
    </row>
    <row r="794" spans="1:64" x14ac:dyDescent="0.25">
      <c r="A794" s="141">
        <f t="shared" si="503"/>
        <v>775</v>
      </c>
      <c r="B794" s="142">
        <f t="shared" si="504"/>
        <v>317</v>
      </c>
      <c r="C794" s="62" t="s">
        <v>63</v>
      </c>
      <c r="D794" s="62" t="s">
        <v>904</v>
      </c>
      <c r="E794" s="123">
        <v>1986</v>
      </c>
      <c r="F794" s="123">
        <v>2010</v>
      </c>
      <c r="G794" s="123" t="s">
        <v>43</v>
      </c>
      <c r="H794" s="123">
        <v>5</v>
      </c>
      <c r="I794" s="123">
        <v>4</v>
      </c>
      <c r="J794" s="64">
        <v>4920.8</v>
      </c>
      <c r="K794" s="64">
        <v>4295.6000000000004</v>
      </c>
      <c r="L794" s="64">
        <v>0</v>
      </c>
      <c r="M794" s="124">
        <v>193</v>
      </c>
      <c r="N794" s="63">
        <f t="shared" si="545"/>
        <v>1458644.1368999998</v>
      </c>
      <c r="O794" s="64"/>
      <c r="P794" s="65"/>
      <c r="Q794" s="65"/>
      <c r="R794" s="65">
        <f>+'Приложение №2'!E803</f>
        <v>1458644.1368999998</v>
      </c>
      <c r="S794" s="65">
        <f>+'Приложение №2'!E803-'Приложение №1'!R794</f>
        <v>0</v>
      </c>
      <c r="T794" s="65">
        <v>0</v>
      </c>
      <c r="U794" s="65">
        <f t="shared" si="533"/>
        <v>339.56703065927917</v>
      </c>
      <c r="V794" s="65">
        <v>1433.2830200640001</v>
      </c>
      <c r="W794" s="126">
        <v>2024</v>
      </c>
      <c r="X794" s="127" t="e">
        <f>+#REF!-'[1]Приложение №1'!$P901</f>
        <v>#REF!</v>
      </c>
      <c r="Z794" s="63">
        <f t="shared" si="540"/>
        <v>2113977.0099999998</v>
      </c>
      <c r="AA794" s="64">
        <v>0</v>
      </c>
      <c r="AB794" s="64">
        <v>0</v>
      </c>
      <c r="AC794" s="64">
        <v>0</v>
      </c>
      <c r="AD794" s="64">
        <v>0</v>
      </c>
      <c r="AE794" s="64">
        <v>1427429.1523703397</v>
      </c>
      <c r="AF794" s="64"/>
      <c r="AG794" s="64">
        <v>0</v>
      </c>
      <c r="AH794" s="64">
        <v>0</v>
      </c>
      <c r="AI794" s="64">
        <v>0</v>
      </c>
      <c r="AJ794" s="64">
        <v>0</v>
      </c>
      <c r="AK794" s="64">
        <v>0</v>
      </c>
      <c r="AL794" s="64">
        <v>0</v>
      </c>
      <c r="AM794" s="64">
        <v>634193.10299999989</v>
      </c>
      <c r="AN794" s="65">
        <v>21139.770099999998</v>
      </c>
      <c r="AO794" s="66">
        <v>31214.98452966</v>
      </c>
      <c r="AP794" s="128">
        <f>+N794-'Приложение №2'!E803</f>
        <v>0</v>
      </c>
      <c r="AQ794" s="38">
        <v>2074367.19</v>
      </c>
      <c r="AR794" s="25">
        <f t="shared" si="518"/>
        <v>460058.76000000007</v>
      </c>
      <c r="AS794" s="25">
        <f t="shared" si="547"/>
        <v>16237368.000000004</v>
      </c>
      <c r="AT794" s="127">
        <f t="shared" si="534"/>
        <v>-16237368.000000004</v>
      </c>
      <c r="AU794" s="127">
        <f>+P794-'[6]Приложение №1'!$P713</f>
        <v>0</v>
      </c>
      <c r="AV794" s="127">
        <f>+Q794-'[6]Приложение №1'!$Q713</f>
        <v>0</v>
      </c>
      <c r="AW794" s="88">
        <f t="shared" si="546"/>
        <v>1458644.1368999998</v>
      </c>
      <c r="AX794" s="64">
        <v>0</v>
      </c>
      <c r="AY794" s="64">
        <v>0</v>
      </c>
      <c r="AZ794" s="64">
        <v>0</v>
      </c>
      <c r="BA794" s="64">
        <v>0</v>
      </c>
      <c r="BB794" s="64">
        <v>1427429.1523703397</v>
      </c>
      <c r="BC794" s="64"/>
      <c r="BD794" s="64"/>
      <c r="BE794" s="64">
        <v>0</v>
      </c>
      <c r="BF794" s="64">
        <v>0</v>
      </c>
      <c r="BG794" s="64">
        <v>0</v>
      </c>
      <c r="BH794" s="64">
        <v>0</v>
      </c>
      <c r="BI794" s="64">
        <v>0</v>
      </c>
      <c r="BJ794" s="64"/>
      <c r="BK794" s="65"/>
      <c r="BL794" s="66">
        <v>31214.98452966</v>
      </c>
    </row>
    <row r="795" spans="1:64" x14ac:dyDescent="0.25">
      <c r="A795" s="141">
        <f t="shared" si="503"/>
        <v>776</v>
      </c>
      <c r="B795" s="142">
        <f t="shared" si="504"/>
        <v>318</v>
      </c>
      <c r="C795" s="62" t="s">
        <v>74</v>
      </c>
      <c r="D795" s="62" t="s">
        <v>913</v>
      </c>
      <c r="E795" s="123">
        <v>1976</v>
      </c>
      <c r="F795" s="123">
        <v>1976</v>
      </c>
      <c r="G795" s="123" t="s">
        <v>43</v>
      </c>
      <c r="H795" s="123">
        <v>2</v>
      </c>
      <c r="I795" s="123">
        <v>1</v>
      </c>
      <c r="J795" s="64">
        <v>394</v>
      </c>
      <c r="K795" s="64">
        <v>375.6</v>
      </c>
      <c r="L795" s="64">
        <v>0</v>
      </c>
      <c r="M795" s="124">
        <v>38</v>
      </c>
      <c r="N795" s="63">
        <f t="shared" si="545"/>
        <v>9356568.3149909116</v>
      </c>
      <c r="O795" s="64"/>
      <c r="P795" s="65">
        <v>3397803.4296157993</v>
      </c>
      <c r="Q795" s="65"/>
      <c r="R795" s="65">
        <f t="shared" ref="R795" si="548">+AQ795+AR795</f>
        <v>164955</v>
      </c>
      <c r="S795" s="65">
        <f>+AS795</f>
        <v>1419768.0000000002</v>
      </c>
      <c r="T795" s="65">
        <f>+'Приложение №2'!E804-'Приложение №1'!P795-'Приложение №1'!R795-'Приложение №1'!S795</f>
        <v>4374041.8853751123</v>
      </c>
      <c r="U795" s="65">
        <f t="shared" si="533"/>
        <v>24910.991253969412</v>
      </c>
      <c r="V795" s="65">
        <v>1439.2830200640001</v>
      </c>
      <c r="W795" s="126">
        <v>2024</v>
      </c>
      <c r="X795" s="127" t="e">
        <f>+#REF!-'[1]Приложение №1'!$P1743</f>
        <v>#REF!</v>
      </c>
      <c r="Z795" s="63">
        <f>SUM(AA795:AO795)</f>
        <v>7351295.8599999994</v>
      </c>
      <c r="AA795" s="64">
        <v>735304.27475400001</v>
      </c>
      <c r="AB795" s="64">
        <v>447441.06023399998</v>
      </c>
      <c r="AC795" s="64">
        <v>206096.46766800003</v>
      </c>
      <c r="AD795" s="64">
        <v>0</v>
      </c>
      <c r="AE795" s="64">
        <v>0</v>
      </c>
      <c r="AF795" s="64"/>
      <c r="AG795" s="64">
        <v>69083.30797200001</v>
      </c>
      <c r="AH795" s="64">
        <v>0</v>
      </c>
      <c r="AI795" s="64">
        <v>2116583.6327580004</v>
      </c>
      <c r="AJ795" s="64">
        <v>0</v>
      </c>
      <c r="AK795" s="64">
        <v>1764502.807326</v>
      </c>
      <c r="AL795" s="64">
        <v>1553997.7564439997</v>
      </c>
      <c r="AM795" s="64">
        <v>241340.1</v>
      </c>
      <c r="AN795" s="64">
        <v>66210.3</v>
      </c>
      <c r="AO795" s="66">
        <v>150736.15284400003</v>
      </c>
      <c r="AP795" s="128">
        <f>+N795-'Приложение №2'!E804</f>
        <v>0</v>
      </c>
      <c r="AQ795" s="38">
        <v>124728.24</v>
      </c>
      <c r="AR795" s="25">
        <f t="shared" si="518"/>
        <v>40226.76</v>
      </c>
      <c r="AS795" s="25">
        <f>+(K795*10.5+L795*21)*12*30</f>
        <v>1419768.0000000002</v>
      </c>
      <c r="AT795" s="127">
        <f t="shared" si="534"/>
        <v>0</v>
      </c>
      <c r="AU795" s="127">
        <f>+P795-'[6]Приложение №1'!$P719</f>
        <v>0</v>
      </c>
      <c r="AV795" s="127">
        <f>+Q795-'[6]Приложение №1'!$Q719</f>
        <v>0</v>
      </c>
      <c r="AW795" s="88">
        <f t="shared" si="546"/>
        <v>9356568.3149909116</v>
      </c>
      <c r="AX795" s="64">
        <v>1499120.1748707045</v>
      </c>
      <c r="AY795" s="64"/>
      <c r="AZ795" s="64">
        <v>430222.50116461777</v>
      </c>
      <c r="BA795" s="64">
        <v>0</v>
      </c>
      <c r="BB795" s="64">
        <v>0</v>
      </c>
      <c r="BC795" s="64"/>
      <c r="BD795" s="64">
        <v>142891.97269354918</v>
      </c>
      <c r="BE795" s="64">
        <v>0</v>
      </c>
      <c r="BF795" s="64"/>
      <c r="BG795" s="64">
        <v>0</v>
      </c>
      <c r="BH795" s="64">
        <v>3599331.7433198267</v>
      </c>
      <c r="BI795" s="64">
        <v>3186013.8208737094</v>
      </c>
      <c r="BJ795" s="64">
        <v>241340.1</v>
      </c>
      <c r="BK795" s="64">
        <v>66210.3</v>
      </c>
      <c r="BL795" s="66">
        <v>191437.70206850392</v>
      </c>
    </row>
    <row r="800" spans="1:64" x14ac:dyDescent="0.25">
      <c r="B800" s="147"/>
    </row>
    <row r="801" spans="16:19" x14ac:dyDescent="0.25">
      <c r="P801" s="25">
        <v>444755620</v>
      </c>
    </row>
    <row r="802" spans="16:19" x14ac:dyDescent="0.25">
      <c r="P802" s="25">
        <f>P477-P801</f>
        <v>-4.2859315872192383E-3</v>
      </c>
    </row>
    <row r="804" spans="16:19" x14ac:dyDescent="0.25">
      <c r="P804" s="127"/>
      <c r="S804" s="127"/>
    </row>
  </sheetData>
  <autoFilter ref="A12:AS795"/>
  <mergeCells count="44">
    <mergeCell ref="Z9:Z11"/>
    <mergeCell ref="AA9:AO9"/>
    <mergeCell ref="AA10:AG10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F10:F12"/>
    <mergeCell ref="K10:K11"/>
    <mergeCell ref="L10:L11"/>
    <mergeCell ref="N10:N11"/>
    <mergeCell ref="N9:T9"/>
    <mergeCell ref="O10:T10"/>
    <mergeCell ref="V9:V11"/>
    <mergeCell ref="W9:W12"/>
    <mergeCell ref="A6:W6"/>
    <mergeCell ref="A9:A12"/>
    <mergeCell ref="B9:B12"/>
    <mergeCell ref="C9:C12"/>
    <mergeCell ref="D9:D12"/>
    <mergeCell ref="E9:F9"/>
    <mergeCell ref="G9:G12"/>
    <mergeCell ref="H9:H12"/>
    <mergeCell ref="I9:I12"/>
    <mergeCell ref="J9:J11"/>
    <mergeCell ref="K9:L9"/>
    <mergeCell ref="M9:M11"/>
    <mergeCell ref="U9:U11"/>
    <mergeCell ref="E10:E12"/>
    <mergeCell ref="AW9:AW11"/>
    <mergeCell ref="AX9:BL9"/>
    <mergeCell ref="AX10:BD10"/>
    <mergeCell ref="BE10:BE11"/>
    <mergeCell ref="BF10:BF11"/>
    <mergeCell ref="BG10:BG11"/>
    <mergeCell ref="BH10:BH11"/>
    <mergeCell ref="BI10:BI11"/>
    <mergeCell ref="BJ10:BJ11"/>
    <mergeCell ref="BK10:BK11"/>
    <mergeCell ref="BL10:BL11"/>
  </mergeCells>
  <phoneticPr fontId="17" type="noConversion"/>
  <conditionalFormatting sqref="D517">
    <cfRule type="duplicateValues" dxfId="216" priority="120"/>
  </conditionalFormatting>
  <conditionalFormatting sqref="D268">
    <cfRule type="duplicateValues" dxfId="215" priority="119"/>
  </conditionalFormatting>
  <conditionalFormatting sqref="D627">
    <cfRule type="duplicateValues" dxfId="214" priority="118"/>
  </conditionalFormatting>
  <conditionalFormatting sqref="D720 D722:D723 D725:D729">
    <cfRule type="duplicateValues" dxfId="213" priority="8532"/>
  </conditionalFormatting>
  <conditionalFormatting sqref="D731:D734 D737:D739">
    <cfRule type="duplicateValues" dxfId="212" priority="116"/>
  </conditionalFormatting>
  <conditionalFormatting sqref="D741">
    <cfRule type="duplicateValues" dxfId="211" priority="115"/>
  </conditionalFormatting>
  <conditionalFormatting sqref="D752:D753">
    <cfRule type="duplicateValues" dxfId="210" priority="114"/>
  </conditionalFormatting>
  <conditionalFormatting sqref="D795">
    <cfRule type="duplicateValues" dxfId="209" priority="8569"/>
  </conditionalFormatting>
  <conditionalFormatting sqref="D320">
    <cfRule type="duplicateValues" dxfId="208" priority="111"/>
  </conditionalFormatting>
  <conditionalFormatting sqref="D762">
    <cfRule type="duplicateValues" dxfId="207" priority="109"/>
  </conditionalFormatting>
  <conditionalFormatting sqref="D323">
    <cfRule type="duplicateValues" dxfId="206" priority="103"/>
  </conditionalFormatting>
  <conditionalFormatting sqref="D781">
    <cfRule type="duplicateValues" dxfId="205" priority="102"/>
  </conditionalFormatting>
  <conditionalFormatting sqref="D782">
    <cfRule type="duplicateValues" dxfId="204" priority="101"/>
  </conditionalFormatting>
  <conditionalFormatting sqref="D779">
    <cfRule type="duplicateValues" dxfId="203" priority="100"/>
  </conditionalFormatting>
  <conditionalFormatting sqref="D571">
    <cfRule type="duplicateValues" dxfId="202" priority="99"/>
  </conditionalFormatting>
  <conditionalFormatting sqref="D574">
    <cfRule type="duplicateValues" dxfId="201" priority="98"/>
  </conditionalFormatting>
  <conditionalFormatting sqref="D476">
    <cfRule type="duplicateValues" dxfId="200" priority="96"/>
  </conditionalFormatting>
  <conditionalFormatting sqref="D216">
    <cfRule type="duplicateValues" dxfId="199" priority="94"/>
  </conditionalFormatting>
  <conditionalFormatting sqref="D254">
    <cfRule type="duplicateValues" dxfId="198" priority="91"/>
  </conditionalFormatting>
  <conditionalFormatting sqref="D266">
    <cfRule type="duplicateValues" dxfId="197" priority="90"/>
  </conditionalFormatting>
  <conditionalFormatting sqref="D66">
    <cfRule type="duplicateValues" dxfId="196" priority="89"/>
  </conditionalFormatting>
  <conditionalFormatting sqref="D106">
    <cfRule type="duplicateValues" dxfId="195" priority="88"/>
  </conditionalFormatting>
  <conditionalFormatting sqref="D345">
    <cfRule type="duplicateValues" dxfId="194" priority="87"/>
  </conditionalFormatting>
  <conditionalFormatting sqref="D136">
    <cfRule type="duplicateValues" dxfId="193" priority="86"/>
  </conditionalFormatting>
  <conditionalFormatting sqref="D138">
    <cfRule type="duplicateValues" dxfId="192" priority="85"/>
  </conditionalFormatting>
  <conditionalFormatting sqref="D761">
    <cfRule type="duplicateValues" dxfId="191" priority="81"/>
  </conditionalFormatting>
  <conditionalFormatting sqref="D767:D768">
    <cfRule type="duplicateValues" dxfId="190" priority="80"/>
  </conditionalFormatting>
  <conditionalFormatting sqref="D785">
    <cfRule type="duplicateValues" dxfId="189" priority="79"/>
  </conditionalFormatting>
  <conditionalFormatting sqref="D468:D470">
    <cfRule type="duplicateValues" dxfId="188" priority="78"/>
  </conditionalFormatting>
  <conditionalFormatting sqref="D790 D471">
    <cfRule type="duplicateValues" dxfId="187" priority="76"/>
  </conditionalFormatting>
  <conditionalFormatting sqref="D209">
    <cfRule type="duplicateValues" dxfId="186" priority="75"/>
  </conditionalFormatting>
  <conditionalFormatting sqref="D225">
    <cfRule type="duplicateValues" dxfId="185" priority="74"/>
  </conditionalFormatting>
  <conditionalFormatting sqref="D524">
    <cfRule type="duplicateValues" dxfId="184" priority="73"/>
  </conditionalFormatting>
  <conditionalFormatting sqref="D526">
    <cfRule type="duplicateValues" dxfId="183" priority="72"/>
  </conditionalFormatting>
  <conditionalFormatting sqref="D273">
    <cfRule type="duplicateValues" dxfId="182" priority="69"/>
  </conditionalFormatting>
  <conditionalFormatting sqref="D275">
    <cfRule type="duplicateValues" dxfId="181" priority="68"/>
  </conditionalFormatting>
  <conditionalFormatting sqref="D297">
    <cfRule type="duplicateValues" dxfId="180" priority="67"/>
  </conditionalFormatting>
  <conditionalFormatting sqref="D317">
    <cfRule type="duplicateValues" dxfId="179" priority="66"/>
  </conditionalFormatting>
  <conditionalFormatting sqref="D623">
    <cfRule type="duplicateValues" dxfId="178" priority="65"/>
  </conditionalFormatting>
  <conditionalFormatting sqref="D352">
    <cfRule type="duplicateValues" dxfId="177" priority="63"/>
  </conditionalFormatting>
  <conditionalFormatting sqref="D364">
    <cfRule type="duplicateValues" dxfId="176" priority="61"/>
  </conditionalFormatting>
  <conditionalFormatting sqref="D406:D407">
    <cfRule type="duplicateValues" dxfId="175" priority="60"/>
  </conditionalFormatting>
  <conditionalFormatting sqref="D438">
    <cfRule type="duplicateValues" dxfId="174" priority="56"/>
  </conditionalFormatting>
  <conditionalFormatting sqref="D473">
    <cfRule type="duplicateValues" dxfId="173" priority="55"/>
  </conditionalFormatting>
  <conditionalFormatting sqref="D169">
    <cfRule type="duplicateValues" dxfId="172" priority="52"/>
  </conditionalFormatting>
  <conditionalFormatting sqref="D173">
    <cfRule type="duplicateValues" dxfId="171" priority="50"/>
  </conditionalFormatting>
  <conditionalFormatting sqref="D271">
    <cfRule type="duplicateValues" dxfId="170" priority="49"/>
  </conditionalFormatting>
  <conditionalFormatting sqref="D301">
    <cfRule type="duplicateValues" dxfId="169" priority="48"/>
  </conditionalFormatting>
  <conditionalFormatting sqref="D310">
    <cfRule type="duplicateValues" dxfId="168" priority="47"/>
  </conditionalFormatting>
  <conditionalFormatting sqref="D322">
    <cfRule type="duplicateValues" dxfId="167" priority="45"/>
  </conditionalFormatting>
  <conditionalFormatting sqref="D337">
    <cfRule type="duplicateValues" dxfId="166" priority="44"/>
  </conditionalFormatting>
  <conditionalFormatting sqref="D360">
    <cfRule type="duplicateValues" dxfId="165" priority="43"/>
  </conditionalFormatting>
  <conditionalFormatting sqref="D393">
    <cfRule type="duplicateValues" dxfId="164" priority="42"/>
  </conditionalFormatting>
  <conditionalFormatting sqref="D474:D475">
    <cfRule type="duplicateValues" dxfId="163" priority="41"/>
  </conditionalFormatting>
  <conditionalFormatting sqref="D175">
    <cfRule type="duplicateValues" dxfId="162" priority="40"/>
  </conditionalFormatting>
  <conditionalFormatting sqref="D269">
    <cfRule type="duplicateValues" dxfId="161" priority="9564"/>
  </conditionalFormatting>
  <conditionalFormatting sqref="D49">
    <cfRule type="duplicateValues" dxfId="160" priority="39"/>
  </conditionalFormatting>
  <conditionalFormatting sqref="D267">
    <cfRule type="duplicateValues" dxfId="159" priority="38"/>
  </conditionalFormatting>
  <conditionalFormatting sqref="D639">
    <cfRule type="duplicateValues" dxfId="158" priority="37"/>
  </conditionalFormatting>
  <conditionalFormatting sqref="D497">
    <cfRule type="duplicateValues" dxfId="157" priority="36"/>
  </conditionalFormatting>
  <conditionalFormatting sqref="D248">
    <cfRule type="duplicateValues" dxfId="156" priority="35"/>
  </conditionalFormatting>
  <conditionalFormatting sqref="D226">
    <cfRule type="duplicateValues" dxfId="155" priority="34"/>
  </conditionalFormatting>
  <conditionalFormatting sqref="D251">
    <cfRule type="duplicateValues" dxfId="154" priority="33"/>
  </conditionalFormatting>
  <conditionalFormatting sqref="D235">
    <cfRule type="duplicateValues" dxfId="153" priority="32"/>
  </conditionalFormatting>
  <conditionalFormatting sqref="D270">
    <cfRule type="duplicateValues" dxfId="152" priority="31"/>
  </conditionalFormatting>
  <conditionalFormatting sqref="D274">
    <cfRule type="duplicateValues" dxfId="151" priority="30"/>
  </conditionalFormatting>
  <conditionalFormatting sqref="D315">
    <cfRule type="duplicateValues" dxfId="150" priority="29"/>
  </conditionalFormatting>
  <conditionalFormatting sqref="D366:D367">
    <cfRule type="duplicateValues" dxfId="149" priority="28"/>
  </conditionalFormatting>
  <conditionalFormatting sqref="D365">
    <cfRule type="duplicateValues" dxfId="148" priority="27"/>
  </conditionalFormatting>
  <conditionalFormatting sqref="D472">
    <cfRule type="duplicateValues" dxfId="147" priority="26"/>
  </conditionalFormatting>
  <conditionalFormatting sqref="D171">
    <cfRule type="duplicateValues" dxfId="146" priority="25"/>
  </conditionalFormatting>
  <conditionalFormatting sqref="D397 D170 D132:D135 D96 D18:D25 D28:D48 D227 D56:D57 D59 D61:D65 D77 D80:D94 D110 D117:D121 D145:D153 D180:D191 D193:D202 D123:D126 D53:D54 D240 D98:D105 D155:D162 D176 D67:D68 D164:D167 D50:D51 D137 D128:D129 D70:D74 D107:D108 D113:D114 D139 D172">
    <cfRule type="duplicateValues" dxfId="145" priority="9606"/>
  </conditionalFormatting>
  <conditionalFormatting sqref="D596">
    <cfRule type="duplicateValues" dxfId="144" priority="24"/>
  </conditionalFormatting>
  <conditionalFormatting sqref="D511">
    <cfRule type="duplicateValues" dxfId="143" priority="9642"/>
  </conditionalFormatting>
  <conditionalFormatting sqref="D423 D419 D421">
    <cfRule type="duplicateValues" dxfId="142" priority="9691"/>
  </conditionalFormatting>
  <conditionalFormatting sqref="D229">
    <cfRule type="duplicateValues" dxfId="141" priority="23"/>
  </conditionalFormatting>
  <conditionalFormatting sqref="D355">
    <cfRule type="duplicateValues" dxfId="140" priority="22"/>
  </conditionalFormatting>
  <conditionalFormatting sqref="D215">
    <cfRule type="duplicateValues" dxfId="139" priority="21"/>
  </conditionalFormatting>
  <conditionalFormatting sqref="D265">
    <cfRule type="duplicateValues" dxfId="138" priority="20"/>
  </conditionalFormatting>
  <conditionalFormatting sqref="D324">
    <cfRule type="duplicateValues" dxfId="137" priority="19"/>
  </conditionalFormatting>
  <conditionalFormatting sqref="D350">
    <cfRule type="duplicateValues" dxfId="136" priority="18"/>
  </conditionalFormatting>
  <conditionalFormatting sqref="D427">
    <cfRule type="duplicateValues" dxfId="135" priority="15"/>
  </conditionalFormatting>
  <conditionalFormatting sqref="D481">
    <cfRule type="duplicateValues" dxfId="134" priority="14"/>
  </conditionalFormatting>
  <conditionalFormatting sqref="D549">
    <cfRule type="duplicateValues" dxfId="133" priority="13"/>
  </conditionalFormatting>
  <conditionalFormatting sqref="D580">
    <cfRule type="duplicateValues" dxfId="132" priority="12"/>
  </conditionalFormatting>
  <conditionalFormatting sqref="D581">
    <cfRule type="duplicateValues" dxfId="131" priority="11"/>
  </conditionalFormatting>
  <conditionalFormatting sqref="D582">
    <cfRule type="duplicateValues" dxfId="130" priority="10"/>
  </conditionalFormatting>
  <conditionalFormatting sqref="D621">
    <cfRule type="duplicateValues" dxfId="129" priority="9"/>
  </conditionalFormatting>
  <conditionalFormatting sqref="D624">
    <cfRule type="duplicateValues" dxfId="128" priority="8"/>
  </conditionalFormatting>
  <conditionalFormatting sqref="D654">
    <cfRule type="duplicateValues" dxfId="127" priority="7"/>
  </conditionalFormatting>
  <conditionalFormatting sqref="D670">
    <cfRule type="duplicateValues" dxfId="126" priority="6"/>
  </conditionalFormatting>
  <conditionalFormatting sqref="D692 D405">
    <cfRule type="duplicateValues" dxfId="125" priority="9770"/>
  </conditionalFormatting>
  <conditionalFormatting sqref="D736">
    <cfRule type="duplicateValues" dxfId="124" priority="5"/>
  </conditionalFormatting>
  <conditionalFormatting sqref="D724">
    <cfRule type="duplicateValues" dxfId="123" priority="4"/>
  </conditionalFormatting>
  <conditionalFormatting sqref="D754 D541 D466:D467 D224 D213 D112 D69 D177 D633 D604 D566 D572 D579 D332:D333 D252 D27 D489:D490 D458 D443:D446 D769 D760 D440 D748 D730 D412 D409 D382:D383 D721 D428:D429 D740 D735 D461 D463 D576 D250 D533 D519 D386 D717:D719 D751 D771 D708:D711">
    <cfRule type="duplicateValues" dxfId="122" priority="9774"/>
  </conditionalFormatting>
  <conditionalFormatting sqref="D418">
    <cfRule type="duplicateValues" dxfId="121" priority="9788"/>
  </conditionalFormatting>
  <conditionalFormatting sqref="D701">
    <cfRule type="duplicateValues" dxfId="120" priority="1"/>
  </conditionalFormatting>
  <conditionalFormatting sqref="D422">
    <cfRule type="duplicateValues" dxfId="119" priority="9795"/>
  </conditionalFormatting>
  <pageMargins left="0.39370078740157483" right="0.39370078740157483" top="0.39370078740157483" bottom="0.39370078740157483" header="0.31496062992125984" footer="0.31496062992125984"/>
  <pageSetup paperSize="9" scale="3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58"/>
  <sheetViews>
    <sheetView showZeros="0" view="pageBreakPreview" topLeftCell="A10" zoomScale="80" zoomScaleNormal="85" zoomScaleSheetLayoutView="80" workbookViewId="0">
      <pane xSplit="4" ySplit="12" topLeftCell="R22" activePane="bottomRight" state="frozen"/>
      <selection activeCell="A10" sqref="A10"/>
      <selection pane="topRight" activeCell="E10" sqref="E10"/>
      <selection pane="bottomLeft" activeCell="A13" sqref="A13"/>
      <selection pane="bottomRight" activeCell="T12" sqref="T12"/>
    </sheetView>
  </sheetViews>
  <sheetFormatPr defaultColWidth="9.140625" defaultRowHeight="15" x14ac:dyDescent="0.25"/>
  <cols>
    <col min="1" max="1" width="8.140625" style="23" customWidth="1"/>
    <col min="2" max="2" width="9" style="23" customWidth="1"/>
    <col min="3" max="3" width="58.7109375" style="23" customWidth="1"/>
    <col min="4" max="4" width="70.28515625" style="23" customWidth="1"/>
    <col min="5" max="5" width="20.28515625" style="23" customWidth="1"/>
    <col min="6" max="6" width="18.85546875" style="23" customWidth="1"/>
    <col min="7" max="11" width="16.85546875" style="23" customWidth="1"/>
    <col min="12" max="12" width="18.140625" style="23" customWidth="1"/>
    <col min="13" max="13" width="16.85546875" style="23" customWidth="1"/>
    <col min="14" max="14" width="18.28515625" style="23" customWidth="1"/>
    <col min="15" max="15" width="16.85546875" style="23" customWidth="1"/>
    <col min="16" max="16" width="20.42578125" style="23" customWidth="1"/>
    <col min="17" max="20" width="16.85546875" style="23" customWidth="1"/>
    <col min="21" max="21" width="15.140625" style="23" customWidth="1"/>
    <col min="22" max="16384" width="9.140625" style="23"/>
  </cols>
  <sheetData>
    <row r="1" spans="1:20" ht="15.75" x14ac:dyDescent="0.25">
      <c r="T1" s="47" t="s">
        <v>75</v>
      </c>
    </row>
    <row r="2" spans="1:20" ht="15.75" x14ac:dyDescent="0.25">
      <c r="T2" s="47" t="s">
        <v>588</v>
      </c>
    </row>
    <row r="3" spans="1:20" ht="15.75" x14ac:dyDescent="0.25">
      <c r="T3" s="47" t="s">
        <v>980</v>
      </c>
    </row>
    <row r="6" spans="1:20" ht="20.25" x14ac:dyDescent="0.25">
      <c r="A6" s="190" t="s">
        <v>92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</row>
    <row r="7" spans="1:20" ht="16.5" x14ac:dyDescent="0.25">
      <c r="A7" s="26"/>
      <c r="B7" s="26"/>
      <c r="C7" s="26"/>
      <c r="D7" s="26"/>
    </row>
    <row r="8" spans="1:20" x14ac:dyDescent="0.25">
      <c r="A8" s="28"/>
      <c r="B8" s="28"/>
      <c r="C8" s="28"/>
      <c r="D8" s="28"/>
    </row>
    <row r="9" spans="1:20" x14ac:dyDescent="0.25">
      <c r="A9" s="28"/>
      <c r="B9" s="28"/>
      <c r="C9" s="28"/>
      <c r="D9" s="28"/>
    </row>
    <row r="10" spans="1:20" x14ac:dyDescent="0.25">
      <c r="A10" s="28"/>
      <c r="B10" s="28"/>
      <c r="C10" s="28"/>
      <c r="D10" s="28"/>
      <c r="S10" s="213"/>
      <c r="T10" s="213" t="s">
        <v>75</v>
      </c>
    </row>
    <row r="11" spans="1:20" x14ac:dyDescent="0.25">
      <c r="A11" s="28"/>
      <c r="B11" s="28"/>
      <c r="C11" s="28"/>
      <c r="D11" s="28"/>
      <c r="T11" s="213" t="s">
        <v>588</v>
      </c>
    </row>
    <row r="12" spans="1:20" x14ac:dyDescent="0.25">
      <c r="A12" s="28"/>
      <c r="B12" s="28"/>
      <c r="C12" s="28"/>
      <c r="D12" s="28"/>
      <c r="T12" s="217" t="s">
        <v>1190</v>
      </c>
    </row>
    <row r="13" spans="1:20" x14ac:dyDescent="0.25">
      <c r="A13" s="28"/>
      <c r="B13" s="28"/>
      <c r="C13" s="28"/>
      <c r="D13" s="28"/>
    </row>
    <row r="14" spans="1:20" x14ac:dyDescent="0.25">
      <c r="A14" s="28"/>
      <c r="B14" s="28"/>
      <c r="C14" s="28"/>
      <c r="D14" s="28"/>
    </row>
    <row r="15" spans="1:20" ht="20.25" x14ac:dyDescent="0.25">
      <c r="A15" s="190" t="s">
        <v>92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0" x14ac:dyDescent="0.25">
      <c r="A16" s="28"/>
      <c r="B16" s="28"/>
      <c r="C16" s="28"/>
      <c r="D16" s="28"/>
    </row>
    <row r="17" spans="1:21" x14ac:dyDescent="0.25">
      <c r="A17" s="28"/>
      <c r="B17" s="28"/>
      <c r="C17" s="28"/>
      <c r="D17" s="28"/>
    </row>
    <row r="18" spans="1:21" s="35" customFormat="1" ht="14.25" customHeight="1" x14ac:dyDescent="0.25">
      <c r="A18" s="191" t="s">
        <v>1</v>
      </c>
      <c r="B18" s="191" t="s">
        <v>1</v>
      </c>
      <c r="C18" s="188" t="s">
        <v>2</v>
      </c>
      <c r="D18" s="188" t="s">
        <v>3</v>
      </c>
      <c r="E18" s="184" t="s">
        <v>15</v>
      </c>
      <c r="F18" s="187" t="s">
        <v>613</v>
      </c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1" s="35" customFormat="1" ht="14.25" x14ac:dyDescent="0.25">
      <c r="A19" s="192"/>
      <c r="B19" s="192"/>
      <c r="C19" s="189"/>
      <c r="D19" s="189"/>
      <c r="E19" s="185"/>
      <c r="F19" s="211" t="s">
        <v>22</v>
      </c>
      <c r="G19" s="211"/>
      <c r="H19" s="211"/>
      <c r="I19" s="211"/>
      <c r="J19" s="211"/>
      <c r="K19" s="211"/>
      <c r="L19" s="211"/>
      <c r="M19" s="187" t="s">
        <v>81</v>
      </c>
      <c r="N19" s="187" t="s">
        <v>24</v>
      </c>
      <c r="O19" s="187" t="s">
        <v>25</v>
      </c>
      <c r="P19" s="187" t="s">
        <v>477</v>
      </c>
      <c r="Q19" s="187" t="s">
        <v>27</v>
      </c>
      <c r="R19" s="187" t="s">
        <v>614</v>
      </c>
      <c r="S19" s="187" t="s">
        <v>77</v>
      </c>
      <c r="T19" s="187" t="s">
        <v>89</v>
      </c>
    </row>
    <row r="20" spans="1:21" s="35" customFormat="1" ht="177.75" customHeight="1" x14ac:dyDescent="0.25">
      <c r="A20" s="192"/>
      <c r="B20" s="192"/>
      <c r="C20" s="189"/>
      <c r="D20" s="189"/>
      <c r="E20" s="186"/>
      <c r="F20" s="42" t="s">
        <v>33</v>
      </c>
      <c r="G20" s="42" t="s">
        <v>1189</v>
      </c>
      <c r="H20" s="42" t="s">
        <v>35</v>
      </c>
      <c r="I20" s="42" t="s">
        <v>36</v>
      </c>
      <c r="J20" s="42" t="s">
        <v>37</v>
      </c>
      <c r="K20" s="42" t="s">
        <v>38</v>
      </c>
      <c r="L20" s="42" t="s">
        <v>23</v>
      </c>
      <c r="M20" s="187"/>
      <c r="N20" s="187"/>
      <c r="O20" s="187"/>
      <c r="P20" s="187"/>
      <c r="Q20" s="187"/>
      <c r="R20" s="187"/>
      <c r="S20" s="187"/>
      <c r="T20" s="187"/>
    </row>
    <row r="21" spans="1:21" s="35" customFormat="1" ht="14.25" x14ac:dyDescent="0.25">
      <c r="A21" s="207"/>
      <c r="B21" s="207"/>
      <c r="C21" s="206"/>
      <c r="D21" s="206"/>
      <c r="E21" s="42" t="s">
        <v>41</v>
      </c>
      <c r="F21" s="42" t="s">
        <v>41</v>
      </c>
      <c r="G21" s="42" t="s">
        <v>41</v>
      </c>
      <c r="H21" s="42" t="s">
        <v>41</v>
      </c>
      <c r="I21" s="42" t="s">
        <v>41</v>
      </c>
      <c r="J21" s="42" t="s">
        <v>41</v>
      </c>
      <c r="K21" s="42" t="s">
        <v>41</v>
      </c>
      <c r="L21" s="42" t="s">
        <v>41</v>
      </c>
      <c r="M21" s="42" t="s">
        <v>41</v>
      </c>
      <c r="N21" s="42" t="s">
        <v>41</v>
      </c>
      <c r="O21" s="42" t="s">
        <v>41</v>
      </c>
      <c r="P21" s="42" t="s">
        <v>41</v>
      </c>
      <c r="Q21" s="42" t="s">
        <v>41</v>
      </c>
      <c r="R21" s="42" t="s">
        <v>41</v>
      </c>
      <c r="S21" s="42" t="s">
        <v>41</v>
      </c>
      <c r="T21" s="42" t="s">
        <v>41</v>
      </c>
    </row>
    <row r="22" spans="1:21" s="52" customFormat="1" ht="14.25" x14ac:dyDescent="0.25">
      <c r="A22" s="48"/>
      <c r="B22" s="48"/>
      <c r="C22" s="49"/>
      <c r="D22" s="49" t="s">
        <v>610</v>
      </c>
      <c r="E22" s="50">
        <f t="shared" ref="E22:T22" si="0">+E23+E215+E486</f>
        <v>9487895265.060133</v>
      </c>
      <c r="F22" s="50">
        <f t="shared" si="0"/>
        <v>1676621510.9483678</v>
      </c>
      <c r="G22" s="50">
        <f t="shared" si="0"/>
        <v>512087039.17325151</v>
      </c>
      <c r="H22" s="50">
        <f t="shared" si="0"/>
        <v>649643526.23252606</v>
      </c>
      <c r="I22" s="50">
        <f t="shared" si="0"/>
        <v>422708191.82652807</v>
      </c>
      <c r="J22" s="50">
        <f t="shared" si="0"/>
        <v>116946891.45888171</v>
      </c>
      <c r="K22" s="50">
        <f t="shared" si="0"/>
        <v>0</v>
      </c>
      <c r="L22" s="50">
        <f t="shared" si="0"/>
        <v>51037584.314107567</v>
      </c>
      <c r="M22" s="50">
        <f t="shared" si="0"/>
        <v>350001891.63714135</v>
      </c>
      <c r="N22" s="50">
        <f t="shared" si="0"/>
        <v>1647409726.9268167</v>
      </c>
      <c r="O22" s="50">
        <f t="shared" si="0"/>
        <v>272466917.14007795</v>
      </c>
      <c r="P22" s="50">
        <f t="shared" si="0"/>
        <v>2223533697.1398058</v>
      </c>
      <c r="Q22" s="50">
        <f t="shared" si="0"/>
        <v>910081250.29096639</v>
      </c>
      <c r="R22" s="50">
        <f t="shared" si="0"/>
        <v>196132248.59426475</v>
      </c>
      <c r="S22" s="50">
        <f t="shared" si="0"/>
        <v>20981008.408226132</v>
      </c>
      <c r="T22" s="50">
        <f t="shared" si="0"/>
        <v>286387654.3291719</v>
      </c>
      <c r="U22" s="51"/>
    </row>
    <row r="23" spans="1:21" s="56" customFormat="1" x14ac:dyDescent="0.25">
      <c r="A23" s="53"/>
      <c r="B23" s="53"/>
      <c r="C23" s="53"/>
      <c r="D23" s="53" t="s">
        <v>91</v>
      </c>
      <c r="E23" s="54">
        <f>SUM(F23:T23)+E24+E25</f>
        <v>1905220282.8825877</v>
      </c>
      <c r="F23" s="54">
        <f>+F24+F26</f>
        <v>261418719.91</v>
      </c>
      <c r="G23" s="54">
        <f t="shared" ref="G23:T23" si="1">+G24+G26</f>
        <v>92211687.10999997</v>
      </c>
      <c r="H23" s="54">
        <f t="shared" si="1"/>
        <v>91010822.590000033</v>
      </c>
      <c r="I23" s="54">
        <f t="shared" si="1"/>
        <v>100780746.21000001</v>
      </c>
      <c r="J23" s="54">
        <f t="shared" si="1"/>
        <v>20726332.382261999</v>
      </c>
      <c r="K23" s="54">
        <f t="shared" si="1"/>
        <v>0</v>
      </c>
      <c r="L23" s="54">
        <f t="shared" si="1"/>
        <v>0</v>
      </c>
      <c r="M23" s="54">
        <f t="shared" si="1"/>
        <v>28694966.41</v>
      </c>
      <c r="N23" s="54">
        <f t="shared" si="1"/>
        <v>417243389.46806598</v>
      </c>
      <c r="O23" s="54">
        <f t="shared" si="1"/>
        <v>79372152.859999985</v>
      </c>
      <c r="P23" s="54">
        <f t="shared" si="1"/>
        <v>386032575.02000004</v>
      </c>
      <c r="Q23" s="54">
        <f t="shared" si="1"/>
        <v>162824150.38999999</v>
      </c>
      <c r="R23" s="54">
        <f t="shared" si="1"/>
        <v>44622520.010968477</v>
      </c>
      <c r="S23" s="54">
        <f t="shared" si="1"/>
        <v>3686982.5281604878</v>
      </c>
      <c r="T23" s="54">
        <f t="shared" si="1"/>
        <v>64739111.35313078</v>
      </c>
      <c r="U23" s="55"/>
    </row>
    <row r="24" spans="1:21" s="56" customFormat="1" x14ac:dyDescent="0.25">
      <c r="A24" s="57"/>
      <c r="B24" s="53"/>
      <c r="C24" s="53"/>
      <c r="D24" s="53" t="s">
        <v>529</v>
      </c>
      <c r="E24" s="54">
        <v>147308685.03999999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8"/>
      <c r="U24" s="59"/>
    </row>
    <row r="25" spans="1:21" s="56" customFormat="1" x14ac:dyDescent="0.25">
      <c r="A25" s="57"/>
      <c r="B25" s="53"/>
      <c r="C25" s="53"/>
      <c r="D25" s="53" t="s">
        <v>611</v>
      </c>
      <c r="E25" s="54">
        <v>4547441.6000000006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8"/>
      <c r="U25" s="59"/>
    </row>
    <row r="26" spans="1:21" s="56" customFormat="1" x14ac:dyDescent="0.25">
      <c r="A26" s="57"/>
      <c r="B26" s="53"/>
      <c r="C26" s="53"/>
      <c r="D26" s="53"/>
      <c r="E26" s="54">
        <f>SUM(E27:E214)</f>
        <v>1753364156.2425888</v>
      </c>
      <c r="F26" s="54">
        <f>SUM(F27:F214)</f>
        <v>261418719.91</v>
      </c>
      <c r="G26" s="54">
        <f t="shared" ref="G26:T26" si="2">SUM(G27:G214)</f>
        <v>92211687.10999997</v>
      </c>
      <c r="H26" s="54">
        <f t="shared" si="2"/>
        <v>91010822.590000033</v>
      </c>
      <c r="I26" s="54">
        <f t="shared" si="2"/>
        <v>100780746.21000001</v>
      </c>
      <c r="J26" s="54">
        <f t="shared" si="2"/>
        <v>20726332.382261999</v>
      </c>
      <c r="K26" s="54">
        <f t="shared" si="2"/>
        <v>0</v>
      </c>
      <c r="L26" s="54">
        <f t="shared" si="2"/>
        <v>0</v>
      </c>
      <c r="M26" s="54">
        <f t="shared" si="2"/>
        <v>28694966.41</v>
      </c>
      <c r="N26" s="54">
        <f t="shared" si="2"/>
        <v>417243389.46806598</v>
      </c>
      <c r="O26" s="54">
        <f t="shared" si="2"/>
        <v>79372152.859999985</v>
      </c>
      <c r="P26" s="54">
        <f t="shared" si="2"/>
        <v>386032575.02000004</v>
      </c>
      <c r="Q26" s="54">
        <f t="shared" si="2"/>
        <v>162824150.38999999</v>
      </c>
      <c r="R26" s="54">
        <f t="shared" si="2"/>
        <v>44622520.010968477</v>
      </c>
      <c r="S26" s="54">
        <f t="shared" si="2"/>
        <v>3686982.5281604878</v>
      </c>
      <c r="T26" s="54">
        <f t="shared" si="2"/>
        <v>64739111.35313078</v>
      </c>
      <c r="U26" s="54"/>
    </row>
    <row r="27" spans="1:21" x14ac:dyDescent="0.25">
      <c r="A27" s="60">
        <v>1</v>
      </c>
      <c r="B27" s="61">
        <v>1</v>
      </c>
      <c r="C27" s="62" t="s">
        <v>50</v>
      </c>
      <c r="D27" s="62" t="s">
        <v>615</v>
      </c>
      <c r="E27" s="63">
        <f t="shared" ref="E27:E58" si="3">SUBTOTAL(9,F27:T27)</f>
        <v>35883420.902660385</v>
      </c>
      <c r="F27" s="64">
        <v>11937105.199999999</v>
      </c>
      <c r="G27" s="64">
        <v>7031659.7400000002</v>
      </c>
      <c r="H27" s="64"/>
      <c r="I27" s="64">
        <v>2917316.85</v>
      </c>
      <c r="J27" s="64">
        <v>0</v>
      </c>
      <c r="K27" s="64"/>
      <c r="L27" s="64"/>
      <c r="M27" s="64">
        <v>0</v>
      </c>
      <c r="N27" s="64">
        <v>4693934.4000000004</v>
      </c>
      <c r="O27" s="64">
        <v>8467593.2400000002</v>
      </c>
      <c r="P27" s="64">
        <v>0</v>
      </c>
      <c r="Q27" s="64">
        <v>0</v>
      </c>
      <c r="R27" s="64"/>
      <c r="S27" s="65"/>
      <c r="T27" s="66">
        <v>835811.47266038705</v>
      </c>
      <c r="U27" s="67"/>
    </row>
    <row r="28" spans="1:21" x14ac:dyDescent="0.25">
      <c r="A28" s="60">
        <f t="shared" ref="A28:A59" si="4">+A27+1</f>
        <v>2</v>
      </c>
      <c r="B28" s="61">
        <f t="shared" ref="B28:B59" si="5">+B27+1</f>
        <v>2</v>
      </c>
      <c r="C28" s="62" t="s">
        <v>50</v>
      </c>
      <c r="D28" s="62" t="s">
        <v>616</v>
      </c>
      <c r="E28" s="63">
        <f t="shared" si="3"/>
        <v>34138401.5</v>
      </c>
      <c r="F28" s="64">
        <v>10136488.119999999</v>
      </c>
      <c r="G28" s="64">
        <v>6838744.3399999999</v>
      </c>
      <c r="H28" s="64"/>
      <c r="I28" s="64">
        <v>2920060.1</v>
      </c>
      <c r="J28" s="64">
        <v>0</v>
      </c>
      <c r="K28" s="64"/>
      <c r="L28" s="64"/>
      <c r="M28" s="64">
        <v>0</v>
      </c>
      <c r="N28" s="64">
        <v>4839492</v>
      </c>
      <c r="O28" s="64">
        <v>8471863.8000000007</v>
      </c>
      <c r="P28" s="64">
        <v>0</v>
      </c>
      <c r="Q28" s="64">
        <v>0</v>
      </c>
      <c r="R28" s="64"/>
      <c r="S28" s="65"/>
      <c r="T28" s="66">
        <v>931753.14</v>
      </c>
      <c r="U28" s="67"/>
    </row>
    <row r="29" spans="1:21" x14ac:dyDescent="0.25">
      <c r="A29" s="60">
        <f t="shared" si="4"/>
        <v>3</v>
      </c>
      <c r="B29" s="61">
        <f t="shared" si="5"/>
        <v>3</v>
      </c>
      <c r="C29" s="62" t="s">
        <v>50</v>
      </c>
      <c r="D29" s="62" t="s">
        <v>617</v>
      </c>
      <c r="E29" s="63">
        <f t="shared" si="3"/>
        <v>21804481.706755415</v>
      </c>
      <c r="F29" s="64">
        <v>8693551.2400000002</v>
      </c>
      <c r="G29" s="64">
        <v>2539728.9700000002</v>
      </c>
      <c r="H29" s="64"/>
      <c r="I29" s="64">
        <v>1744090.12</v>
      </c>
      <c r="J29" s="64">
        <v>0</v>
      </c>
      <c r="K29" s="64"/>
      <c r="L29" s="64"/>
      <c r="M29" s="64">
        <v>0</v>
      </c>
      <c r="N29" s="64">
        <v>2720365.2</v>
      </c>
      <c r="O29" s="64">
        <v>5773109.29</v>
      </c>
      <c r="P29" s="64">
        <v>0</v>
      </c>
      <c r="Q29" s="64">
        <v>0</v>
      </c>
      <c r="R29" s="64"/>
      <c r="S29" s="65"/>
      <c r="T29" s="66">
        <v>333636.88675541501</v>
      </c>
      <c r="U29" s="67"/>
    </row>
    <row r="30" spans="1:21" x14ac:dyDescent="0.25">
      <c r="A30" s="60">
        <f t="shared" si="4"/>
        <v>4</v>
      </c>
      <c r="B30" s="61">
        <f t="shared" si="5"/>
        <v>4</v>
      </c>
      <c r="C30" s="62" t="s">
        <v>71</v>
      </c>
      <c r="D30" s="62" t="s">
        <v>619</v>
      </c>
      <c r="E30" s="63">
        <f t="shared" si="3"/>
        <v>6683521.8589600008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/>
      <c r="L30" s="64"/>
      <c r="M30" s="64">
        <v>0</v>
      </c>
      <c r="N30" s="64">
        <v>6340797.9400000004</v>
      </c>
      <c r="O30" s="64">
        <v>0</v>
      </c>
      <c r="P30" s="64">
        <v>0</v>
      </c>
      <c r="Q30" s="64">
        <v>0</v>
      </c>
      <c r="R30" s="64"/>
      <c r="S30" s="65"/>
      <c r="T30" s="66">
        <v>342723.91895999998</v>
      </c>
      <c r="U30" s="67"/>
    </row>
    <row r="31" spans="1:21" x14ac:dyDescent="0.25">
      <c r="A31" s="60">
        <f t="shared" si="4"/>
        <v>5</v>
      </c>
      <c r="B31" s="61">
        <f t="shared" si="5"/>
        <v>5</v>
      </c>
      <c r="C31" s="62" t="s">
        <v>71</v>
      </c>
      <c r="D31" s="62" t="s">
        <v>620</v>
      </c>
      <c r="E31" s="63">
        <f t="shared" si="3"/>
        <v>1380495.8153303184</v>
      </c>
      <c r="F31" s="64">
        <v>1272491.3999999999</v>
      </c>
      <c r="G31" s="64">
        <v>0</v>
      </c>
      <c r="H31" s="64">
        <v>0</v>
      </c>
      <c r="I31" s="64">
        <v>0</v>
      </c>
      <c r="J31" s="64">
        <v>0</v>
      </c>
      <c r="K31" s="64"/>
      <c r="L31" s="64"/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/>
      <c r="S31" s="65"/>
      <c r="T31" s="66">
        <v>108004.41533031844</v>
      </c>
      <c r="U31" s="67"/>
    </row>
    <row r="32" spans="1:21" x14ac:dyDescent="0.25">
      <c r="A32" s="60">
        <f t="shared" si="4"/>
        <v>6</v>
      </c>
      <c r="B32" s="61">
        <f t="shared" si="5"/>
        <v>6</v>
      </c>
      <c r="C32" s="62" t="s">
        <v>71</v>
      </c>
      <c r="D32" s="62" t="s">
        <v>621</v>
      </c>
      <c r="E32" s="63">
        <f t="shared" si="3"/>
        <v>2472986.52</v>
      </c>
      <c r="F32" s="64">
        <v>2428165.69</v>
      </c>
      <c r="G32" s="64">
        <v>0</v>
      </c>
      <c r="H32" s="64">
        <v>0</v>
      </c>
      <c r="I32" s="64">
        <v>0</v>
      </c>
      <c r="J32" s="64">
        <v>0</v>
      </c>
      <c r="K32" s="64"/>
      <c r="L32" s="64"/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/>
      <c r="S32" s="65"/>
      <c r="T32" s="66">
        <v>44820.83</v>
      </c>
      <c r="U32" s="67"/>
    </row>
    <row r="33" spans="1:21" x14ac:dyDescent="0.25">
      <c r="A33" s="60">
        <f t="shared" si="4"/>
        <v>7</v>
      </c>
      <c r="B33" s="61">
        <f t="shared" si="5"/>
        <v>7</v>
      </c>
      <c r="C33" s="62" t="s">
        <v>51</v>
      </c>
      <c r="D33" s="62" t="s">
        <v>623</v>
      </c>
      <c r="E33" s="63">
        <f t="shared" si="3"/>
        <v>113078.26467698808</v>
      </c>
      <c r="F33" s="64">
        <v>0</v>
      </c>
      <c r="G33" s="64">
        <v>0</v>
      </c>
      <c r="H33" s="64"/>
      <c r="I33" s="64">
        <v>104364.26</v>
      </c>
      <c r="J33" s="64">
        <v>0</v>
      </c>
      <c r="K33" s="64"/>
      <c r="L33" s="64"/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/>
      <c r="S33" s="65"/>
      <c r="T33" s="66">
        <v>8714.0046769880846</v>
      </c>
      <c r="U33" s="67"/>
    </row>
    <row r="34" spans="1:21" x14ac:dyDescent="0.25">
      <c r="A34" s="60">
        <f t="shared" si="4"/>
        <v>8</v>
      </c>
      <c r="B34" s="61">
        <f t="shared" si="5"/>
        <v>8</v>
      </c>
      <c r="C34" s="62" t="s">
        <v>51</v>
      </c>
      <c r="D34" s="62" t="s">
        <v>624</v>
      </c>
      <c r="E34" s="63">
        <f t="shared" si="3"/>
        <v>5366313.5354361599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/>
      <c r="L34" s="64"/>
      <c r="M34" s="64">
        <v>0</v>
      </c>
      <c r="N34" s="64">
        <v>0</v>
      </c>
      <c r="O34" s="64">
        <v>5195773.5</v>
      </c>
      <c r="P34" s="64"/>
      <c r="Q34" s="64"/>
      <c r="R34" s="64"/>
      <c r="S34" s="65"/>
      <c r="T34" s="66">
        <v>170540.03543616005</v>
      </c>
      <c r="U34" s="67"/>
    </row>
    <row r="35" spans="1:21" x14ac:dyDescent="0.25">
      <c r="A35" s="60">
        <f t="shared" si="4"/>
        <v>9</v>
      </c>
      <c r="B35" s="61">
        <f t="shared" si="5"/>
        <v>9</v>
      </c>
      <c r="C35" s="62" t="s">
        <v>51</v>
      </c>
      <c r="D35" s="62" t="s">
        <v>995</v>
      </c>
      <c r="E35" s="63">
        <f t="shared" si="3"/>
        <v>3697130.3492353396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/>
      <c r="L35" s="64"/>
      <c r="M35" s="64">
        <v>0</v>
      </c>
      <c r="N35" s="64">
        <v>0</v>
      </c>
      <c r="O35" s="64">
        <v>2388753.41</v>
      </c>
      <c r="P35" s="64"/>
      <c r="Q35" s="64">
        <v>815005.58</v>
      </c>
      <c r="R35" s="64">
        <v>392917.04065692797</v>
      </c>
      <c r="S35" s="65">
        <v>18562.626065692799</v>
      </c>
      <c r="T35" s="66">
        <v>81891.69251271851</v>
      </c>
      <c r="U35" s="67"/>
    </row>
    <row r="36" spans="1:21" x14ac:dyDescent="0.25">
      <c r="A36" s="60">
        <f t="shared" si="4"/>
        <v>10</v>
      </c>
      <c r="B36" s="61">
        <f t="shared" si="5"/>
        <v>10</v>
      </c>
      <c r="C36" s="62" t="s">
        <v>82</v>
      </c>
      <c r="D36" s="62" t="s">
        <v>629</v>
      </c>
      <c r="E36" s="63">
        <f t="shared" si="3"/>
        <v>3712081.5291589973</v>
      </c>
      <c r="F36" s="64"/>
      <c r="G36" s="64"/>
      <c r="H36" s="64">
        <v>878254.94</v>
      </c>
      <c r="I36" s="64"/>
      <c r="J36" s="64">
        <v>0</v>
      </c>
      <c r="K36" s="64"/>
      <c r="L36" s="64"/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f>2191683.42279663-27761</f>
        <v>2163922.4227966298</v>
      </c>
      <c r="S36" s="65">
        <v>229848.71147637241</v>
      </c>
      <c r="T36" s="66">
        <v>440055.45488599484</v>
      </c>
      <c r="U36" s="67"/>
    </row>
    <row r="37" spans="1:21" x14ac:dyDescent="0.25">
      <c r="A37" s="60">
        <f t="shared" si="4"/>
        <v>11</v>
      </c>
      <c r="B37" s="61">
        <f t="shared" si="5"/>
        <v>11</v>
      </c>
      <c r="C37" s="62" t="s">
        <v>82</v>
      </c>
      <c r="D37" s="62" t="s">
        <v>996</v>
      </c>
      <c r="E37" s="63">
        <f t="shared" si="3"/>
        <v>6156349.6058218479</v>
      </c>
      <c r="F37" s="64">
        <v>2699032.56</v>
      </c>
      <c r="G37" s="64">
        <v>2261633.31</v>
      </c>
      <c r="H37" s="64"/>
      <c r="I37" s="64">
        <v>818058.15</v>
      </c>
      <c r="J37" s="64">
        <v>0</v>
      </c>
      <c r="K37" s="64"/>
      <c r="L37" s="64"/>
      <c r="M37" s="64">
        <v>0</v>
      </c>
      <c r="N37" s="64"/>
      <c r="O37" s="64">
        <v>0</v>
      </c>
      <c r="P37" s="64">
        <v>0</v>
      </c>
      <c r="Q37" s="64">
        <v>0</v>
      </c>
      <c r="R37" s="64"/>
      <c r="S37" s="65"/>
      <c r="T37" s="66">
        <v>377625.58582184697</v>
      </c>
      <c r="U37" s="67"/>
    </row>
    <row r="38" spans="1:21" x14ac:dyDescent="0.25">
      <c r="A38" s="60">
        <f t="shared" si="4"/>
        <v>12</v>
      </c>
      <c r="B38" s="61">
        <f t="shared" si="5"/>
        <v>12</v>
      </c>
      <c r="C38" s="62" t="s">
        <v>82</v>
      </c>
      <c r="D38" s="62" t="s">
        <v>997</v>
      </c>
      <c r="E38" s="63">
        <f t="shared" si="3"/>
        <v>13036215.770000001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/>
      <c r="L38" s="64"/>
      <c r="M38" s="64">
        <v>0</v>
      </c>
      <c r="N38" s="68">
        <v>2807713.83</v>
      </c>
      <c r="O38" s="68">
        <v>0</v>
      </c>
      <c r="P38" s="68">
        <v>9577950</v>
      </c>
      <c r="Q38" s="68">
        <v>0</v>
      </c>
      <c r="R38" s="68">
        <v>377498.73</v>
      </c>
      <c r="S38" s="69">
        <v>8000</v>
      </c>
      <c r="T38" s="70">
        <v>265053.21000000002</v>
      </c>
      <c r="U38" s="67"/>
    </row>
    <row r="39" spans="1:21" x14ac:dyDescent="0.25">
      <c r="A39" s="60">
        <f t="shared" si="4"/>
        <v>13</v>
      </c>
      <c r="B39" s="61">
        <f t="shared" si="5"/>
        <v>13</v>
      </c>
      <c r="C39" s="62" t="s">
        <v>82</v>
      </c>
      <c r="D39" s="62" t="s">
        <v>998</v>
      </c>
      <c r="E39" s="63">
        <f t="shared" si="3"/>
        <v>947792.52460360434</v>
      </c>
      <c r="F39" s="64"/>
      <c r="G39" s="64"/>
      <c r="H39" s="64"/>
      <c r="I39" s="64">
        <v>856822.68</v>
      </c>
      <c r="J39" s="64">
        <v>0</v>
      </c>
      <c r="K39" s="64"/>
      <c r="L39" s="64"/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/>
      <c r="S39" s="65"/>
      <c r="T39" s="66">
        <v>90969.844603604302</v>
      </c>
      <c r="U39" s="67"/>
    </row>
    <row r="40" spans="1:21" x14ac:dyDescent="0.25">
      <c r="A40" s="60">
        <f>+A39+1</f>
        <v>14</v>
      </c>
      <c r="B40" s="61">
        <f>+B39+1</f>
        <v>14</v>
      </c>
      <c r="C40" s="62" t="s">
        <v>82</v>
      </c>
      <c r="D40" s="62" t="s">
        <v>630</v>
      </c>
      <c r="E40" s="63">
        <f t="shared" si="3"/>
        <v>3204810.5757265971</v>
      </c>
      <c r="F40" s="64"/>
      <c r="G40" s="64">
        <v>1900545.16</v>
      </c>
      <c r="H40" s="64"/>
      <c r="I40" s="64">
        <v>1184190.3999999999</v>
      </c>
      <c r="J40" s="64">
        <v>0</v>
      </c>
      <c r="K40" s="64"/>
      <c r="L40" s="64"/>
      <c r="M40" s="64">
        <v>0</v>
      </c>
      <c r="N40" s="64">
        <v>0</v>
      </c>
      <c r="O40" s="64"/>
      <c r="P40" s="64">
        <v>0</v>
      </c>
      <c r="Q40" s="64">
        <v>0</v>
      </c>
      <c r="R40" s="64"/>
      <c r="S40" s="65"/>
      <c r="T40" s="66">
        <v>120075.0157265975</v>
      </c>
      <c r="U40" s="67"/>
    </row>
    <row r="41" spans="1:21" x14ac:dyDescent="0.25">
      <c r="A41" s="60">
        <f t="shared" si="4"/>
        <v>15</v>
      </c>
      <c r="B41" s="61">
        <f t="shared" si="5"/>
        <v>15</v>
      </c>
      <c r="C41" s="62" t="s">
        <v>82</v>
      </c>
      <c r="D41" s="62" t="s">
        <v>999</v>
      </c>
      <c r="E41" s="63">
        <f t="shared" si="3"/>
        <v>7091508.1283725407</v>
      </c>
      <c r="F41" s="64">
        <v>2005222.15</v>
      </c>
      <c r="G41" s="64"/>
      <c r="H41" s="64">
        <v>0</v>
      </c>
      <c r="I41" s="64"/>
      <c r="J41" s="64">
        <v>0</v>
      </c>
      <c r="K41" s="64"/>
      <c r="L41" s="64"/>
      <c r="M41" s="64">
        <v>0</v>
      </c>
      <c r="N41" s="64">
        <v>0</v>
      </c>
      <c r="O41" s="64">
        <v>4791041.3099999996</v>
      </c>
      <c r="P41" s="64"/>
      <c r="Q41" s="64">
        <v>0</v>
      </c>
      <c r="R41" s="64"/>
      <c r="S41" s="65"/>
      <c r="T41" s="66">
        <v>295244.66837254167</v>
      </c>
      <c r="U41" s="67"/>
    </row>
    <row r="42" spans="1:21" x14ac:dyDescent="0.25">
      <c r="A42" s="60">
        <f t="shared" si="4"/>
        <v>16</v>
      </c>
      <c r="B42" s="61">
        <f t="shared" si="5"/>
        <v>16</v>
      </c>
      <c r="C42" s="62" t="s">
        <v>83</v>
      </c>
      <c r="D42" s="62" t="s">
        <v>1000</v>
      </c>
      <c r="E42" s="63">
        <f t="shared" si="3"/>
        <v>50879011.910000004</v>
      </c>
      <c r="F42" s="64">
        <v>0</v>
      </c>
      <c r="G42" s="64">
        <v>0</v>
      </c>
      <c r="H42" s="64">
        <v>0</v>
      </c>
      <c r="I42" s="68">
        <v>6678313.5999999996</v>
      </c>
      <c r="J42" s="68">
        <v>0</v>
      </c>
      <c r="K42" s="68"/>
      <c r="L42" s="68"/>
      <c r="M42" s="68">
        <v>0</v>
      </c>
      <c r="N42" s="68">
        <v>25055410.800000001</v>
      </c>
      <c r="O42" s="68">
        <v>16117459.310000001</v>
      </c>
      <c r="P42" s="68">
        <v>0</v>
      </c>
      <c r="Q42" s="68">
        <v>0</v>
      </c>
      <c r="R42" s="68">
        <v>1734020.86</v>
      </c>
      <c r="S42" s="69">
        <v>10000</v>
      </c>
      <c r="T42" s="70">
        <v>1283807.3400000001</v>
      </c>
      <c r="U42" s="67"/>
    </row>
    <row r="43" spans="1:21" x14ac:dyDescent="0.25">
      <c r="A43" s="60">
        <f t="shared" si="4"/>
        <v>17</v>
      </c>
      <c r="B43" s="61">
        <f t="shared" si="5"/>
        <v>17</v>
      </c>
      <c r="C43" s="62" t="s">
        <v>82</v>
      </c>
      <c r="D43" s="62" t="s">
        <v>631</v>
      </c>
      <c r="E43" s="63">
        <f t="shared" si="3"/>
        <v>10558217.996456141</v>
      </c>
      <c r="F43" s="64"/>
      <c r="G43" s="64">
        <v>4716823.2</v>
      </c>
      <c r="H43" s="64"/>
      <c r="I43" s="64">
        <v>0</v>
      </c>
      <c r="J43" s="64">
        <v>0</v>
      </c>
      <c r="K43" s="64"/>
      <c r="L43" s="64"/>
      <c r="M43" s="64">
        <v>0</v>
      </c>
      <c r="N43" s="64">
        <v>5310079.2</v>
      </c>
      <c r="O43" s="64">
        <v>0</v>
      </c>
      <c r="P43" s="64">
        <v>0</v>
      </c>
      <c r="Q43" s="64">
        <v>0</v>
      </c>
      <c r="R43" s="64"/>
      <c r="S43" s="65"/>
      <c r="T43" s="66">
        <v>531315.59645614028</v>
      </c>
      <c r="U43" s="67"/>
    </row>
    <row r="44" spans="1:21" x14ac:dyDescent="0.25">
      <c r="A44" s="60">
        <f t="shared" si="4"/>
        <v>18</v>
      </c>
      <c r="B44" s="61">
        <f t="shared" si="5"/>
        <v>18</v>
      </c>
      <c r="C44" s="62" t="s">
        <v>82</v>
      </c>
      <c r="D44" s="62" t="s">
        <v>632</v>
      </c>
      <c r="E44" s="63">
        <f t="shared" si="3"/>
        <v>11881010.632439215</v>
      </c>
      <c r="F44" s="64"/>
      <c r="G44" s="64">
        <v>4815586.08</v>
      </c>
      <c r="H44" s="64"/>
      <c r="I44" s="64">
        <v>2345570.7400000002</v>
      </c>
      <c r="J44" s="64">
        <v>0</v>
      </c>
      <c r="K44" s="64"/>
      <c r="L44" s="64"/>
      <c r="M44" s="64">
        <v>0</v>
      </c>
      <c r="N44" s="64">
        <v>0</v>
      </c>
      <c r="O44" s="64">
        <v>4165102.0700000003</v>
      </c>
      <c r="P44" s="64">
        <v>0</v>
      </c>
      <c r="Q44" s="64">
        <v>0</v>
      </c>
      <c r="R44" s="64"/>
      <c r="S44" s="65"/>
      <c r="T44" s="66">
        <v>554751.74243921472</v>
      </c>
      <c r="U44" s="67"/>
    </row>
    <row r="45" spans="1:21" x14ac:dyDescent="0.25">
      <c r="A45" s="60">
        <f t="shared" si="4"/>
        <v>19</v>
      </c>
      <c r="B45" s="61">
        <f t="shared" si="5"/>
        <v>19</v>
      </c>
      <c r="C45" s="62" t="s">
        <v>82</v>
      </c>
      <c r="D45" s="62" t="s">
        <v>1001</v>
      </c>
      <c r="E45" s="63">
        <f t="shared" si="3"/>
        <v>13275635.754342195</v>
      </c>
      <c r="F45" s="64">
        <v>5601164.7400000002</v>
      </c>
      <c r="G45" s="64">
        <v>4132221.15</v>
      </c>
      <c r="H45" s="64"/>
      <c r="I45" s="64">
        <v>2594387.63</v>
      </c>
      <c r="J45" s="64">
        <v>0</v>
      </c>
      <c r="K45" s="64"/>
      <c r="L45" s="64"/>
      <c r="M45" s="64">
        <v>0</v>
      </c>
      <c r="N45" s="64">
        <v>0</v>
      </c>
      <c r="O45" s="64"/>
      <c r="P45" s="64">
        <v>0</v>
      </c>
      <c r="Q45" s="64">
        <v>0</v>
      </c>
      <c r="R45" s="64"/>
      <c r="S45" s="65"/>
      <c r="T45" s="66">
        <v>947862.23434219416</v>
      </c>
      <c r="U45" s="67"/>
    </row>
    <row r="46" spans="1:21" x14ac:dyDescent="0.25">
      <c r="A46" s="60">
        <f t="shared" si="4"/>
        <v>20</v>
      </c>
      <c r="B46" s="61">
        <f t="shared" si="5"/>
        <v>20</v>
      </c>
      <c r="C46" s="62" t="s">
        <v>82</v>
      </c>
      <c r="D46" s="62" t="s">
        <v>1002</v>
      </c>
      <c r="E46" s="63">
        <f t="shared" si="3"/>
        <v>5240799.8242184632</v>
      </c>
      <c r="F46" s="64"/>
      <c r="G46" s="64">
        <v>1792691.85</v>
      </c>
      <c r="H46" s="64"/>
      <c r="I46" s="64">
        <v>1124322.94</v>
      </c>
      <c r="J46" s="64">
        <v>0</v>
      </c>
      <c r="K46" s="64"/>
      <c r="L46" s="64"/>
      <c r="M46" s="64">
        <v>0</v>
      </c>
      <c r="N46" s="64">
        <v>0</v>
      </c>
      <c r="O46" s="64">
        <v>1790598.95</v>
      </c>
      <c r="P46" s="64">
        <v>0</v>
      </c>
      <c r="Q46" s="64">
        <v>0</v>
      </c>
      <c r="R46" s="64"/>
      <c r="S46" s="65"/>
      <c r="T46" s="66">
        <v>533186.08421846246</v>
      </c>
      <c r="U46" s="67"/>
    </row>
    <row r="47" spans="1:21" x14ac:dyDescent="0.25">
      <c r="A47" s="60">
        <f t="shared" si="4"/>
        <v>21</v>
      </c>
      <c r="B47" s="61">
        <f t="shared" si="5"/>
        <v>21</v>
      </c>
      <c r="C47" s="62" t="s">
        <v>82</v>
      </c>
      <c r="D47" s="62" t="s">
        <v>1003</v>
      </c>
      <c r="E47" s="63">
        <f t="shared" si="3"/>
        <v>1578467.25</v>
      </c>
      <c r="F47" s="64"/>
      <c r="G47" s="64">
        <v>991956.22</v>
      </c>
      <c r="H47" s="64"/>
      <c r="I47" s="64">
        <v>513354.67</v>
      </c>
      <c r="J47" s="64">
        <v>0</v>
      </c>
      <c r="K47" s="64"/>
      <c r="L47" s="64"/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/>
      <c r="S47" s="65"/>
      <c r="T47" s="66">
        <v>73156.36</v>
      </c>
      <c r="U47" s="67"/>
    </row>
    <row r="48" spans="1:21" x14ac:dyDescent="0.25">
      <c r="A48" s="60">
        <f t="shared" si="4"/>
        <v>22</v>
      </c>
      <c r="B48" s="61">
        <f t="shared" si="5"/>
        <v>22</v>
      </c>
      <c r="C48" s="62" t="s">
        <v>82</v>
      </c>
      <c r="D48" s="62" t="s">
        <v>1004</v>
      </c>
      <c r="E48" s="63">
        <f t="shared" si="3"/>
        <v>6565896.2326294025</v>
      </c>
      <c r="F48" s="64">
        <v>2562057.4900000002</v>
      </c>
      <c r="G48" s="64">
        <v>1395411.2</v>
      </c>
      <c r="H48" s="64"/>
      <c r="I48" s="64">
        <v>767119.01</v>
      </c>
      <c r="J48" s="64">
        <v>0</v>
      </c>
      <c r="K48" s="64"/>
      <c r="L48" s="64"/>
      <c r="M48" s="64">
        <v>0</v>
      </c>
      <c r="N48" s="64">
        <v>0</v>
      </c>
      <c r="O48" s="64">
        <v>1469553.35</v>
      </c>
      <c r="P48" s="64">
        <v>0</v>
      </c>
      <c r="Q48" s="64">
        <v>0</v>
      </c>
      <c r="R48" s="64"/>
      <c r="S48" s="65"/>
      <c r="T48" s="66">
        <v>371755.18262940162</v>
      </c>
      <c r="U48" s="67"/>
    </row>
    <row r="49" spans="1:21" x14ac:dyDescent="0.25">
      <c r="A49" s="60">
        <f t="shared" si="4"/>
        <v>23</v>
      </c>
      <c r="B49" s="61">
        <f t="shared" si="5"/>
        <v>23</v>
      </c>
      <c r="C49" s="62" t="s">
        <v>82</v>
      </c>
      <c r="D49" s="62" t="s">
        <v>1005</v>
      </c>
      <c r="E49" s="63">
        <f t="shared" si="3"/>
        <v>2473466.5978491483</v>
      </c>
      <c r="F49" s="64">
        <v>2223790.75</v>
      </c>
      <c r="G49" s="64"/>
      <c r="H49" s="64"/>
      <c r="I49" s="64"/>
      <c r="J49" s="64">
        <v>0</v>
      </c>
      <c r="K49" s="64"/>
      <c r="L49" s="64"/>
      <c r="M49" s="64">
        <v>0</v>
      </c>
      <c r="N49" s="64">
        <v>0</v>
      </c>
      <c r="O49" s="64"/>
      <c r="P49" s="64">
        <v>0</v>
      </c>
      <c r="Q49" s="64">
        <v>0</v>
      </c>
      <c r="R49" s="64"/>
      <c r="S49" s="65"/>
      <c r="T49" s="66">
        <v>249675.84784914847</v>
      </c>
      <c r="U49" s="67"/>
    </row>
    <row r="50" spans="1:21" x14ac:dyDescent="0.25">
      <c r="A50" s="60">
        <f t="shared" si="4"/>
        <v>24</v>
      </c>
      <c r="B50" s="61">
        <f t="shared" si="5"/>
        <v>24</v>
      </c>
      <c r="C50" s="62" t="s">
        <v>83</v>
      </c>
      <c r="D50" s="62" t="s">
        <v>633</v>
      </c>
      <c r="E50" s="63">
        <f t="shared" si="3"/>
        <v>3289538.05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/>
      <c r="L50" s="64"/>
      <c r="M50" s="64">
        <v>0</v>
      </c>
      <c r="N50" s="68">
        <v>2913300.81</v>
      </c>
      <c r="O50" s="68">
        <v>0</v>
      </c>
      <c r="P50" s="68">
        <v>0</v>
      </c>
      <c r="Q50" s="68">
        <v>0</v>
      </c>
      <c r="R50" s="68">
        <v>297498.73</v>
      </c>
      <c r="S50" s="69">
        <v>8000</v>
      </c>
      <c r="T50" s="70">
        <v>70738.509999999995</v>
      </c>
      <c r="U50" s="67"/>
    </row>
    <row r="51" spans="1:21" x14ac:dyDescent="0.25">
      <c r="A51" s="60">
        <f t="shared" si="4"/>
        <v>25</v>
      </c>
      <c r="B51" s="61">
        <f t="shared" si="5"/>
        <v>25</v>
      </c>
      <c r="C51" s="62" t="s">
        <v>82</v>
      </c>
      <c r="D51" s="62" t="s">
        <v>1006</v>
      </c>
      <c r="E51" s="63">
        <f t="shared" si="3"/>
        <v>3078216.5789347347</v>
      </c>
      <c r="F51" s="64"/>
      <c r="G51" s="64">
        <v>2540840.59</v>
      </c>
      <c r="H51" s="64">
        <v>0</v>
      </c>
      <c r="I51" s="71"/>
      <c r="J51" s="64">
        <v>0</v>
      </c>
      <c r="K51" s="64"/>
      <c r="L51" s="64"/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/>
      <c r="S51" s="65"/>
      <c r="T51" s="66">
        <v>537375.98893473484</v>
      </c>
      <c r="U51" s="67"/>
    </row>
    <row r="52" spans="1:21" x14ac:dyDescent="0.25">
      <c r="A52" s="60">
        <f t="shared" si="4"/>
        <v>26</v>
      </c>
      <c r="B52" s="61">
        <f t="shared" si="5"/>
        <v>26</v>
      </c>
      <c r="C52" s="62" t="s">
        <v>83</v>
      </c>
      <c r="D52" s="62" t="s">
        <v>634</v>
      </c>
      <c r="E52" s="63">
        <f t="shared" si="3"/>
        <v>3685808.05</v>
      </c>
      <c r="F52" s="68">
        <v>2951330.4</v>
      </c>
      <c r="G52" s="68">
        <v>0</v>
      </c>
      <c r="H52" s="68">
        <v>0</v>
      </c>
      <c r="I52" s="68">
        <v>0</v>
      </c>
      <c r="J52" s="68">
        <v>0</v>
      </c>
      <c r="K52" s="68"/>
      <c r="L52" s="68"/>
      <c r="M52" s="68">
        <v>0</v>
      </c>
      <c r="N52" s="68">
        <v>0</v>
      </c>
      <c r="O52" s="68"/>
      <c r="P52" s="68">
        <v>0</v>
      </c>
      <c r="Q52" s="68">
        <v>0</v>
      </c>
      <c r="R52" s="68">
        <v>582619.32999999996</v>
      </c>
      <c r="S52" s="69">
        <v>24000</v>
      </c>
      <c r="T52" s="70">
        <v>127858.32</v>
      </c>
      <c r="U52" s="67"/>
    </row>
    <row r="53" spans="1:21" x14ac:dyDescent="0.25">
      <c r="A53" s="60">
        <f t="shared" si="4"/>
        <v>27</v>
      </c>
      <c r="B53" s="61">
        <f t="shared" si="5"/>
        <v>27</v>
      </c>
      <c r="C53" s="62" t="s">
        <v>82</v>
      </c>
      <c r="D53" s="62" t="s">
        <v>1007</v>
      </c>
      <c r="E53" s="63">
        <f t="shared" si="3"/>
        <v>9041524.1470446158</v>
      </c>
      <c r="F53" s="64">
        <v>3433452.29</v>
      </c>
      <c r="G53" s="64">
        <v>2760585.92</v>
      </c>
      <c r="H53" s="64">
        <v>0</v>
      </c>
      <c r="I53" s="64">
        <v>2310726.81</v>
      </c>
      <c r="J53" s="64">
        <v>0</v>
      </c>
      <c r="K53" s="64"/>
      <c r="L53" s="64"/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/>
      <c r="S53" s="65"/>
      <c r="T53" s="66">
        <v>536759.12704461697</v>
      </c>
      <c r="U53" s="67"/>
    </row>
    <row r="54" spans="1:21" x14ac:dyDescent="0.25">
      <c r="A54" s="60">
        <f t="shared" si="4"/>
        <v>28</v>
      </c>
      <c r="B54" s="61">
        <f t="shared" si="5"/>
        <v>28</v>
      </c>
      <c r="C54" s="62" t="s">
        <v>82</v>
      </c>
      <c r="D54" s="62" t="s">
        <v>1008</v>
      </c>
      <c r="E54" s="63">
        <f t="shared" si="3"/>
        <v>5302435.6314287242</v>
      </c>
      <c r="F54" s="64"/>
      <c r="G54" s="64">
        <v>0</v>
      </c>
      <c r="H54" s="64">
        <v>0</v>
      </c>
      <c r="I54" s="64"/>
      <c r="J54" s="64">
        <v>0</v>
      </c>
      <c r="K54" s="64"/>
      <c r="L54" s="64"/>
      <c r="M54" s="64">
        <v>0</v>
      </c>
      <c r="N54" s="64">
        <v>0</v>
      </c>
      <c r="O54" s="64">
        <v>5115227.17</v>
      </c>
      <c r="P54" s="64">
        <v>0</v>
      </c>
      <c r="Q54" s="64">
        <v>0</v>
      </c>
      <c r="R54" s="64"/>
      <c r="S54" s="65"/>
      <c r="T54" s="66">
        <v>187208.46142872394</v>
      </c>
      <c r="U54" s="67"/>
    </row>
    <row r="55" spans="1:21" x14ac:dyDescent="0.25">
      <c r="A55" s="60">
        <f t="shared" si="4"/>
        <v>29</v>
      </c>
      <c r="B55" s="61">
        <f t="shared" si="5"/>
        <v>29</v>
      </c>
      <c r="C55" s="62" t="s">
        <v>82</v>
      </c>
      <c r="D55" s="62" t="s">
        <v>312</v>
      </c>
      <c r="E55" s="63">
        <f t="shared" si="3"/>
        <v>4475493.9860630399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/>
      <c r="L55" s="64"/>
      <c r="M55" s="64">
        <v>0</v>
      </c>
      <c r="N55" s="64">
        <v>0</v>
      </c>
      <c r="O55" s="64">
        <v>4339069.3499999996</v>
      </c>
      <c r="P55" s="64">
        <v>0</v>
      </c>
      <c r="Q55" s="64">
        <v>0</v>
      </c>
      <c r="R55" s="64"/>
      <c r="S55" s="65"/>
      <c r="T55" s="66">
        <v>136424.63606304</v>
      </c>
      <c r="U55" s="67"/>
    </row>
    <row r="56" spans="1:21" x14ac:dyDescent="0.25">
      <c r="A56" s="60">
        <f t="shared" si="4"/>
        <v>30</v>
      </c>
      <c r="B56" s="61">
        <f t="shared" si="5"/>
        <v>30</v>
      </c>
      <c r="C56" s="62" t="s">
        <v>82</v>
      </c>
      <c r="D56" s="62" t="s">
        <v>313</v>
      </c>
      <c r="E56" s="63">
        <f t="shared" si="3"/>
        <v>4016836.5007339842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/>
      <c r="L56" s="64"/>
      <c r="M56" s="64">
        <v>0</v>
      </c>
      <c r="N56" s="64">
        <v>0</v>
      </c>
      <c r="O56" s="64">
        <v>3882256.24</v>
      </c>
      <c r="P56" s="64">
        <v>0</v>
      </c>
      <c r="Q56" s="64">
        <v>0</v>
      </c>
      <c r="R56" s="64"/>
      <c r="S56" s="65"/>
      <c r="T56" s="66">
        <v>134580.260733984</v>
      </c>
      <c r="U56" s="67"/>
    </row>
    <row r="57" spans="1:21" x14ac:dyDescent="0.25">
      <c r="A57" s="60">
        <f t="shared" si="4"/>
        <v>31</v>
      </c>
      <c r="B57" s="61">
        <f t="shared" si="5"/>
        <v>31</v>
      </c>
      <c r="C57" s="62" t="s">
        <v>82</v>
      </c>
      <c r="D57" s="62" t="s">
        <v>314</v>
      </c>
      <c r="E57" s="63">
        <f t="shared" si="3"/>
        <v>4129287.6900192644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/>
      <c r="L57" s="64"/>
      <c r="M57" s="64">
        <v>0</v>
      </c>
      <c r="N57" s="64">
        <v>0</v>
      </c>
      <c r="O57" s="64">
        <v>3994725.91</v>
      </c>
      <c r="P57" s="64">
        <v>0</v>
      </c>
      <c r="Q57" s="64">
        <v>0</v>
      </c>
      <c r="R57" s="64"/>
      <c r="S57" s="65"/>
      <c r="T57" s="66">
        <v>134561.780019264</v>
      </c>
      <c r="U57" s="67"/>
    </row>
    <row r="58" spans="1:21" x14ac:dyDescent="0.25">
      <c r="A58" s="60">
        <f t="shared" si="4"/>
        <v>32</v>
      </c>
      <c r="B58" s="61">
        <f t="shared" si="5"/>
        <v>32</v>
      </c>
      <c r="C58" s="62" t="s">
        <v>82</v>
      </c>
      <c r="D58" s="62" t="s">
        <v>316</v>
      </c>
      <c r="E58" s="63">
        <f t="shared" si="3"/>
        <v>3549906.48971568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/>
      <c r="L58" s="64"/>
      <c r="M58" s="64">
        <v>0</v>
      </c>
      <c r="N58" s="64">
        <v>0</v>
      </c>
      <c r="O58" s="64">
        <v>3410025.96</v>
      </c>
      <c r="P58" s="64">
        <v>0</v>
      </c>
      <c r="Q58" s="64">
        <v>0</v>
      </c>
      <c r="R58" s="64"/>
      <c r="S58" s="65"/>
      <c r="T58" s="66">
        <v>139880.52971567999</v>
      </c>
      <c r="U58" s="67"/>
    </row>
    <row r="59" spans="1:21" x14ac:dyDescent="0.25">
      <c r="A59" s="60">
        <f t="shared" si="4"/>
        <v>33</v>
      </c>
      <c r="B59" s="61">
        <f t="shared" si="5"/>
        <v>33</v>
      </c>
      <c r="C59" s="62" t="s">
        <v>82</v>
      </c>
      <c r="D59" s="62" t="s">
        <v>1009</v>
      </c>
      <c r="E59" s="63">
        <f t="shared" ref="E59:E90" si="6">SUBTOTAL(9,F59:T59)</f>
        <v>12323375.331853973</v>
      </c>
      <c r="F59" s="64">
        <v>5460916.2000000002</v>
      </c>
      <c r="G59" s="64"/>
      <c r="H59" s="64"/>
      <c r="I59" s="64">
        <v>2605145.33</v>
      </c>
      <c r="J59" s="64">
        <v>0</v>
      </c>
      <c r="K59" s="64"/>
      <c r="L59" s="64"/>
      <c r="M59" s="64">
        <v>0</v>
      </c>
      <c r="N59" s="64">
        <v>3676226.7</v>
      </c>
      <c r="O59" s="64">
        <v>0</v>
      </c>
      <c r="P59" s="64">
        <v>0</v>
      </c>
      <c r="Q59" s="64">
        <v>0</v>
      </c>
      <c r="R59" s="64"/>
      <c r="S59" s="65"/>
      <c r="T59" s="66">
        <v>581087.10185397218</v>
      </c>
      <c r="U59" s="67"/>
    </row>
    <row r="60" spans="1:21" x14ac:dyDescent="0.25">
      <c r="A60" s="60">
        <f t="shared" ref="A60:A91" si="7">+A59+1</f>
        <v>34</v>
      </c>
      <c r="B60" s="61">
        <f t="shared" ref="B60:B91" si="8">+B59+1</f>
        <v>34</v>
      </c>
      <c r="C60" s="62" t="s">
        <v>82</v>
      </c>
      <c r="D60" s="62" t="s">
        <v>333</v>
      </c>
      <c r="E60" s="63">
        <f t="shared" si="6"/>
        <v>26057138.58937408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/>
      <c r="L60" s="64"/>
      <c r="M60" s="64">
        <v>0</v>
      </c>
      <c r="N60" s="64"/>
      <c r="O60" s="64">
        <v>0</v>
      </c>
      <c r="P60" s="64">
        <v>24993173.34</v>
      </c>
      <c r="Q60" s="64">
        <v>0</v>
      </c>
      <c r="R60" s="64"/>
      <c r="S60" s="65"/>
      <c r="T60" s="66">
        <v>1063965.2493740798</v>
      </c>
      <c r="U60" s="67"/>
    </row>
    <row r="61" spans="1:21" x14ac:dyDescent="0.25">
      <c r="A61" s="60">
        <f t="shared" si="7"/>
        <v>35</v>
      </c>
      <c r="B61" s="61">
        <f t="shared" si="8"/>
        <v>35</v>
      </c>
      <c r="C61" s="62" t="s">
        <v>82</v>
      </c>
      <c r="D61" s="62" t="s">
        <v>337</v>
      </c>
      <c r="E61" s="63">
        <f t="shared" si="6"/>
        <v>2330396.1391615798</v>
      </c>
      <c r="F61" s="64"/>
      <c r="G61" s="64">
        <v>2149155.58</v>
      </c>
      <c r="H61" s="64">
        <v>0</v>
      </c>
      <c r="I61" s="64">
        <v>0</v>
      </c>
      <c r="J61" s="64">
        <v>0</v>
      </c>
      <c r="K61" s="64"/>
      <c r="L61" s="64"/>
      <c r="M61" s="64"/>
      <c r="N61" s="64"/>
      <c r="O61" s="64"/>
      <c r="P61" s="64"/>
      <c r="Q61" s="64">
        <v>0</v>
      </c>
      <c r="R61" s="64"/>
      <c r="S61" s="65"/>
      <c r="T61" s="66">
        <v>181240.55916157967</v>
      </c>
      <c r="U61" s="67"/>
    </row>
    <row r="62" spans="1:21" x14ac:dyDescent="0.25">
      <c r="A62" s="60">
        <f t="shared" si="7"/>
        <v>36</v>
      </c>
      <c r="B62" s="61">
        <f t="shared" si="8"/>
        <v>36</v>
      </c>
      <c r="C62" s="62" t="s">
        <v>82</v>
      </c>
      <c r="D62" s="62" t="s">
        <v>635</v>
      </c>
      <c r="E62" s="63">
        <f t="shared" si="6"/>
        <v>1888185.6276605655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/>
      <c r="L62" s="64"/>
      <c r="M62" s="64">
        <v>0</v>
      </c>
      <c r="N62" s="64">
        <v>1822287.29</v>
      </c>
      <c r="O62" s="64">
        <v>0</v>
      </c>
      <c r="P62" s="64">
        <v>0</v>
      </c>
      <c r="Q62" s="64">
        <v>0</v>
      </c>
      <c r="R62" s="64"/>
      <c r="S62" s="65"/>
      <c r="T62" s="66">
        <v>65898.337660565405</v>
      </c>
      <c r="U62" s="67"/>
    </row>
    <row r="63" spans="1:21" x14ac:dyDescent="0.25">
      <c r="A63" s="60">
        <f t="shared" si="7"/>
        <v>37</v>
      </c>
      <c r="B63" s="61">
        <f t="shared" si="8"/>
        <v>37</v>
      </c>
      <c r="C63" s="62" t="s">
        <v>83</v>
      </c>
      <c r="D63" s="62" t="s">
        <v>1010</v>
      </c>
      <c r="E63" s="63">
        <f t="shared" si="6"/>
        <v>22074493.369999997</v>
      </c>
      <c r="F63" s="64"/>
      <c r="G63" s="68">
        <v>6965734.7999999998</v>
      </c>
      <c r="H63" s="68">
        <v>2892341.42</v>
      </c>
      <c r="I63" s="68">
        <v>3341459.79</v>
      </c>
      <c r="J63" s="68">
        <v>0</v>
      </c>
      <c r="K63" s="68"/>
      <c r="L63" s="68"/>
      <c r="M63" s="68">
        <v>0</v>
      </c>
      <c r="N63" s="68">
        <v>7743707.0499999998</v>
      </c>
      <c r="O63" s="68">
        <v>0</v>
      </c>
      <c r="P63" s="68">
        <v>0</v>
      </c>
      <c r="Q63" s="68">
        <v>0</v>
      </c>
      <c r="R63" s="68">
        <v>732528.68</v>
      </c>
      <c r="S63" s="69">
        <v>10000</v>
      </c>
      <c r="T63" s="70">
        <v>388721.63</v>
      </c>
      <c r="U63" s="67"/>
    </row>
    <row r="64" spans="1:21" x14ac:dyDescent="0.25">
      <c r="A64" s="60">
        <f t="shared" si="7"/>
        <v>38</v>
      </c>
      <c r="B64" s="61">
        <f t="shared" si="8"/>
        <v>38</v>
      </c>
      <c r="C64" s="62" t="s">
        <v>52</v>
      </c>
      <c r="D64" s="62" t="s">
        <v>678</v>
      </c>
      <c r="E64" s="63">
        <f t="shared" si="6"/>
        <v>12738229.499971401</v>
      </c>
      <c r="F64" s="64">
        <v>1983392.29</v>
      </c>
      <c r="G64" s="64">
        <v>0</v>
      </c>
      <c r="H64" s="64">
        <v>764851.03</v>
      </c>
      <c r="I64" s="64">
        <v>859745.54</v>
      </c>
      <c r="J64" s="64">
        <v>0</v>
      </c>
      <c r="K64" s="64"/>
      <c r="L64" s="64"/>
      <c r="M64" s="64">
        <v>0</v>
      </c>
      <c r="N64" s="64">
        <v>4729777.2699999996</v>
      </c>
      <c r="O64" s="64">
        <v>0</v>
      </c>
      <c r="P64" s="64">
        <v>3962700.17</v>
      </c>
      <c r="Q64" s="64"/>
      <c r="R64" s="64">
        <v>118987.5845</v>
      </c>
      <c r="S64" s="65">
        <v>24854.014500000001</v>
      </c>
      <c r="T64" s="66">
        <v>293921.60097140004</v>
      </c>
      <c r="U64" s="67"/>
    </row>
    <row r="65" spans="1:21" x14ac:dyDescent="0.25">
      <c r="A65" s="60">
        <f t="shared" si="7"/>
        <v>39</v>
      </c>
      <c r="B65" s="61">
        <f t="shared" si="8"/>
        <v>39</v>
      </c>
      <c r="C65" s="62" t="s">
        <v>52</v>
      </c>
      <c r="D65" s="62" t="s">
        <v>1011</v>
      </c>
      <c r="E65" s="63">
        <f t="shared" si="6"/>
        <v>10031683.765631998</v>
      </c>
      <c r="F65" s="64">
        <v>3525522.9</v>
      </c>
      <c r="G65" s="64">
        <v>0</v>
      </c>
      <c r="H65" s="64">
        <v>1377151.25</v>
      </c>
      <c r="I65" s="64"/>
      <c r="J65" s="64">
        <v>0</v>
      </c>
      <c r="K65" s="64"/>
      <c r="L65" s="64"/>
      <c r="M65" s="64">
        <v>0</v>
      </c>
      <c r="N65" s="64">
        <v>4462778.8899999997</v>
      </c>
      <c r="O65" s="64">
        <v>0</v>
      </c>
      <c r="P65" s="64">
        <v>0</v>
      </c>
      <c r="Q65" s="64">
        <v>0</v>
      </c>
      <c r="R65" s="64">
        <v>322308.04000000004</v>
      </c>
      <c r="S65" s="65">
        <v>48000</v>
      </c>
      <c r="T65" s="66">
        <v>295922.68563200004</v>
      </c>
      <c r="U65" s="67"/>
    </row>
    <row r="66" spans="1:21" x14ac:dyDescent="0.25">
      <c r="A66" s="60">
        <f t="shared" si="7"/>
        <v>40</v>
      </c>
      <c r="B66" s="61">
        <f t="shared" si="8"/>
        <v>40</v>
      </c>
      <c r="C66" s="62" t="s">
        <v>52</v>
      </c>
      <c r="D66" s="62" t="s">
        <v>992</v>
      </c>
      <c r="E66" s="63">
        <f t="shared" si="6"/>
        <v>7884285.4414625997</v>
      </c>
      <c r="F66" s="64">
        <v>5966685.6799999997</v>
      </c>
      <c r="G66" s="64">
        <v>1488946.14</v>
      </c>
      <c r="H66" s="64"/>
      <c r="I66" s="64"/>
      <c r="J66" s="64">
        <v>0</v>
      </c>
      <c r="K66" s="64"/>
      <c r="L66" s="64"/>
      <c r="M66" s="64">
        <v>0</v>
      </c>
      <c r="N66" s="64"/>
      <c r="O66" s="64">
        <v>0</v>
      </c>
      <c r="P66" s="64"/>
      <c r="Q66" s="64"/>
      <c r="R66" s="64"/>
      <c r="S66" s="65"/>
      <c r="T66" s="66">
        <v>428653.62146259996</v>
      </c>
      <c r="U66" s="67"/>
    </row>
    <row r="67" spans="1:21" x14ac:dyDescent="0.25">
      <c r="A67" s="60">
        <f t="shared" si="7"/>
        <v>41</v>
      </c>
      <c r="B67" s="61">
        <f t="shared" si="8"/>
        <v>41</v>
      </c>
      <c r="C67" s="62" t="s">
        <v>52</v>
      </c>
      <c r="D67" s="62" t="s">
        <v>1012</v>
      </c>
      <c r="E67" s="63">
        <f t="shared" si="6"/>
        <v>12731761.31732418</v>
      </c>
      <c r="F67" s="64">
        <v>1765727.93</v>
      </c>
      <c r="G67" s="64">
        <v>0</v>
      </c>
      <c r="H67" s="64">
        <v>609050.4</v>
      </c>
      <c r="I67" s="64"/>
      <c r="J67" s="64">
        <v>0</v>
      </c>
      <c r="K67" s="64"/>
      <c r="L67" s="64"/>
      <c r="M67" s="64">
        <v>0</v>
      </c>
      <c r="N67" s="64">
        <v>6221591.2110660002</v>
      </c>
      <c r="O67" s="64"/>
      <c r="P67" s="64"/>
      <c r="Q67" s="64">
        <v>2928661.91</v>
      </c>
      <c r="R67" s="64">
        <v>699135.1274</v>
      </c>
      <c r="S67" s="65">
        <v>90522.263900000005</v>
      </c>
      <c r="T67" s="66">
        <v>417072.47495817998</v>
      </c>
      <c r="U67" s="67"/>
    </row>
    <row r="68" spans="1:21" x14ac:dyDescent="0.25">
      <c r="A68" s="60">
        <f t="shared" si="7"/>
        <v>42</v>
      </c>
      <c r="B68" s="61">
        <f t="shared" si="8"/>
        <v>42</v>
      </c>
      <c r="C68" s="62" t="s">
        <v>52</v>
      </c>
      <c r="D68" s="62" t="s">
        <v>679</v>
      </c>
      <c r="E68" s="63">
        <f t="shared" si="6"/>
        <v>7296497.5090870196</v>
      </c>
      <c r="F68" s="64">
        <v>3493966.86</v>
      </c>
      <c r="G68" s="64">
        <v>2141042.75</v>
      </c>
      <c r="H68" s="64"/>
      <c r="I68" s="64">
        <v>1393455.49</v>
      </c>
      <c r="J68" s="64"/>
      <c r="K68" s="64"/>
      <c r="L68" s="64"/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/>
      <c r="S68" s="65"/>
      <c r="T68" s="66">
        <v>268032.40908702003</v>
      </c>
      <c r="U68" s="67"/>
    </row>
    <row r="69" spans="1:21" x14ac:dyDescent="0.25">
      <c r="A69" s="60">
        <f t="shared" si="7"/>
        <v>43</v>
      </c>
      <c r="B69" s="61">
        <f t="shared" si="8"/>
        <v>43</v>
      </c>
      <c r="C69" s="62" t="s">
        <v>52</v>
      </c>
      <c r="D69" s="62" t="s">
        <v>993</v>
      </c>
      <c r="E69" s="63">
        <f t="shared" si="6"/>
        <v>45900104.497929007</v>
      </c>
      <c r="F69" s="64">
        <v>5399356.9199999999</v>
      </c>
      <c r="G69" s="64"/>
      <c r="H69" s="64">
        <v>2387945.1800000002</v>
      </c>
      <c r="I69" s="64">
        <v>2433472.6800000002</v>
      </c>
      <c r="J69" s="64"/>
      <c r="K69" s="64"/>
      <c r="L69" s="64"/>
      <c r="M69" s="64">
        <v>0</v>
      </c>
      <c r="N69" s="64">
        <v>11379650.75</v>
      </c>
      <c r="O69" s="64">
        <v>0</v>
      </c>
      <c r="P69" s="64">
        <v>18883188.84</v>
      </c>
      <c r="Q69" s="64">
        <v>3776525.81</v>
      </c>
      <c r="R69" s="64">
        <v>276792.45750000002</v>
      </c>
      <c r="S69" s="65">
        <v>44508.167499999996</v>
      </c>
      <c r="T69" s="66">
        <v>1318663.6929290001</v>
      </c>
      <c r="U69" s="67"/>
    </row>
    <row r="70" spans="1:21" x14ac:dyDescent="0.25">
      <c r="A70" s="60">
        <f t="shared" si="7"/>
        <v>44</v>
      </c>
      <c r="B70" s="61">
        <f t="shared" si="8"/>
        <v>44</v>
      </c>
      <c r="C70" s="62" t="s">
        <v>52</v>
      </c>
      <c r="D70" s="62" t="s">
        <v>680</v>
      </c>
      <c r="E70" s="63">
        <f t="shared" si="6"/>
        <v>9358782.4640582055</v>
      </c>
      <c r="F70" s="64">
        <v>1114194.82</v>
      </c>
      <c r="G70" s="64">
        <v>0</v>
      </c>
      <c r="H70" s="64">
        <v>325054.98</v>
      </c>
      <c r="I70" s="64">
        <v>0</v>
      </c>
      <c r="J70" s="64">
        <v>0</v>
      </c>
      <c r="K70" s="64"/>
      <c r="L70" s="64"/>
      <c r="M70" s="64">
        <v>0</v>
      </c>
      <c r="N70" s="64">
        <v>2410884.9500000002</v>
      </c>
      <c r="O70" s="64">
        <v>0</v>
      </c>
      <c r="P70" s="64">
        <v>2965969.93</v>
      </c>
      <c r="Q70" s="64">
        <v>2124525.0299999998</v>
      </c>
      <c r="R70" s="64">
        <v>222088.61</v>
      </c>
      <c r="S70" s="64">
        <f>64189.4440582085</f>
        <v>64189.444058208501</v>
      </c>
      <c r="T70" s="66">
        <v>131874.70000000001</v>
      </c>
      <c r="U70" s="67"/>
    </row>
    <row r="71" spans="1:21" x14ac:dyDescent="0.25">
      <c r="A71" s="60">
        <f t="shared" si="7"/>
        <v>45</v>
      </c>
      <c r="B71" s="61">
        <f t="shared" si="8"/>
        <v>45</v>
      </c>
      <c r="C71" s="62" t="s">
        <v>52</v>
      </c>
      <c r="D71" s="62" t="s">
        <v>681</v>
      </c>
      <c r="E71" s="63">
        <f t="shared" si="6"/>
        <v>495705.70943093998</v>
      </c>
      <c r="F71" s="64">
        <v>0</v>
      </c>
      <c r="G71" s="64">
        <v>0</v>
      </c>
      <c r="H71" s="64">
        <v>295096.46000000002</v>
      </c>
      <c r="I71" s="64">
        <v>0</v>
      </c>
      <c r="J71" s="64">
        <v>0</v>
      </c>
      <c r="K71" s="64"/>
      <c r="L71" s="64"/>
      <c r="M71" s="64">
        <v>0</v>
      </c>
      <c r="N71" s="64">
        <v>0</v>
      </c>
      <c r="O71" s="64">
        <v>0</v>
      </c>
      <c r="P71" s="64"/>
      <c r="Q71" s="64"/>
      <c r="R71" s="64"/>
      <c r="S71" s="65"/>
      <c r="T71" s="66">
        <v>200609.24943093999</v>
      </c>
      <c r="U71" s="67"/>
    </row>
    <row r="72" spans="1:21" x14ac:dyDescent="0.25">
      <c r="A72" s="60">
        <f t="shared" si="7"/>
        <v>46</v>
      </c>
      <c r="B72" s="61">
        <f t="shared" si="8"/>
        <v>46</v>
      </c>
      <c r="C72" s="62" t="s">
        <v>52</v>
      </c>
      <c r="D72" s="62" t="s">
        <v>682</v>
      </c>
      <c r="E72" s="63">
        <f t="shared" si="6"/>
        <v>295096.46000000002</v>
      </c>
      <c r="F72" s="64">
        <v>0</v>
      </c>
      <c r="G72" s="64">
        <v>0</v>
      </c>
      <c r="H72" s="64">
        <v>295096.46000000002</v>
      </c>
      <c r="I72" s="64">
        <v>0</v>
      </c>
      <c r="J72" s="64">
        <v>0</v>
      </c>
      <c r="K72" s="64"/>
      <c r="L72" s="64"/>
      <c r="M72" s="64">
        <v>0</v>
      </c>
      <c r="N72" s="64">
        <v>0</v>
      </c>
      <c r="O72" s="64">
        <v>0</v>
      </c>
      <c r="P72" s="64"/>
      <c r="Q72" s="64"/>
      <c r="R72" s="64"/>
      <c r="S72" s="65"/>
      <c r="T72" s="66"/>
      <c r="U72" s="67"/>
    </row>
    <row r="73" spans="1:21" x14ac:dyDescent="0.25">
      <c r="A73" s="60">
        <f t="shared" si="7"/>
        <v>47</v>
      </c>
      <c r="B73" s="61">
        <f t="shared" si="8"/>
        <v>47</v>
      </c>
      <c r="C73" s="62" t="s">
        <v>52</v>
      </c>
      <c r="D73" s="62" t="s">
        <v>1013</v>
      </c>
      <c r="E73" s="63">
        <f t="shared" si="6"/>
        <v>20563603.904344082</v>
      </c>
      <c r="F73" s="72"/>
      <c r="G73" s="64"/>
      <c r="H73" s="71"/>
      <c r="I73" s="64"/>
      <c r="J73" s="64"/>
      <c r="K73" s="64"/>
      <c r="L73" s="64"/>
      <c r="M73" s="64">
        <v>0</v>
      </c>
      <c r="N73" s="64"/>
      <c r="O73" s="64">
        <v>0</v>
      </c>
      <c r="P73" s="64">
        <v>13315014.15</v>
      </c>
      <c r="Q73" s="64">
        <v>6316602.7000000002</v>
      </c>
      <c r="R73" s="64">
        <v>184016.59</v>
      </c>
      <c r="S73" s="65"/>
      <c r="T73" s="66">
        <v>747970.46434408007</v>
      </c>
      <c r="U73" s="67"/>
    </row>
    <row r="74" spans="1:21" x14ac:dyDescent="0.25">
      <c r="A74" s="60">
        <f t="shared" si="7"/>
        <v>48</v>
      </c>
      <c r="B74" s="61">
        <f t="shared" si="8"/>
        <v>48</v>
      </c>
      <c r="C74" s="62" t="s">
        <v>52</v>
      </c>
      <c r="D74" s="62" t="s">
        <v>683</v>
      </c>
      <c r="E74" s="63">
        <f t="shared" si="6"/>
        <v>26746433.920307983</v>
      </c>
      <c r="F74" s="64">
        <v>4769407.0999999996</v>
      </c>
      <c r="G74" s="64"/>
      <c r="H74" s="71"/>
      <c r="I74" s="64">
        <v>1031316.84</v>
      </c>
      <c r="J74" s="64"/>
      <c r="K74" s="64"/>
      <c r="L74" s="64"/>
      <c r="M74" s="64">
        <v>0</v>
      </c>
      <c r="N74" s="64">
        <v>10189652.140000001</v>
      </c>
      <c r="O74" s="64">
        <v>0</v>
      </c>
      <c r="P74" s="64">
        <v>7616799.1900000004</v>
      </c>
      <c r="Q74" s="64">
        <v>787626.31</v>
      </c>
      <c r="R74" s="64">
        <v>1118801.8879009918</v>
      </c>
      <c r="S74" s="64">
        <f>64785.607900992</f>
        <v>64785.607900991999</v>
      </c>
      <c r="T74" s="66">
        <v>1168044.8445060002</v>
      </c>
      <c r="U74" s="73"/>
    </row>
    <row r="75" spans="1:21" x14ac:dyDescent="0.25">
      <c r="A75" s="60">
        <f t="shared" si="7"/>
        <v>49</v>
      </c>
      <c r="B75" s="61">
        <f t="shared" si="8"/>
        <v>49</v>
      </c>
      <c r="C75" s="62" t="s">
        <v>52</v>
      </c>
      <c r="D75" s="62" t="s">
        <v>684</v>
      </c>
      <c r="E75" s="63">
        <f t="shared" si="6"/>
        <v>701860.01140024001</v>
      </c>
      <c r="F75" s="64"/>
      <c r="G75" s="64"/>
      <c r="H75" s="64">
        <v>657551.96</v>
      </c>
      <c r="I75" s="64"/>
      <c r="J75" s="64"/>
      <c r="K75" s="64"/>
      <c r="L75" s="64"/>
      <c r="M75" s="64">
        <v>0</v>
      </c>
      <c r="N75" s="64"/>
      <c r="O75" s="64">
        <v>0</v>
      </c>
      <c r="P75" s="64">
        <v>0</v>
      </c>
      <c r="Q75" s="64">
        <v>0</v>
      </c>
      <c r="R75" s="64"/>
      <c r="S75" s="65"/>
      <c r="T75" s="66">
        <v>44308.051400240001</v>
      </c>
      <c r="U75" s="67"/>
    </row>
    <row r="76" spans="1:21" s="74" customFormat="1" x14ac:dyDescent="0.25">
      <c r="A76" s="60">
        <f t="shared" si="7"/>
        <v>50</v>
      </c>
      <c r="B76" s="61">
        <f t="shared" si="8"/>
        <v>50</v>
      </c>
      <c r="C76" s="62" t="s">
        <v>52</v>
      </c>
      <c r="D76" s="62" t="s">
        <v>685</v>
      </c>
      <c r="E76" s="63">
        <f t="shared" si="6"/>
        <v>6059622.2357299505</v>
      </c>
      <c r="F76" s="63"/>
      <c r="G76" s="63"/>
      <c r="H76" s="63"/>
      <c r="I76" s="63"/>
      <c r="J76" s="63"/>
      <c r="K76" s="63"/>
      <c r="L76" s="63"/>
      <c r="M76" s="63">
        <v>5738993.2800000003</v>
      </c>
      <c r="N76" s="63"/>
      <c r="O76" s="63"/>
      <c r="P76" s="63"/>
      <c r="Q76" s="63"/>
      <c r="R76" s="63">
        <v>146568.92267519998</v>
      </c>
      <c r="S76" s="63">
        <v>24000</v>
      </c>
      <c r="T76" s="63">
        <v>150060.03305475073</v>
      </c>
      <c r="U76" s="67"/>
    </row>
    <row r="77" spans="1:21" s="74" customFormat="1" x14ac:dyDescent="0.25">
      <c r="A77" s="60">
        <f t="shared" si="7"/>
        <v>51</v>
      </c>
      <c r="B77" s="61">
        <f t="shared" si="8"/>
        <v>51</v>
      </c>
      <c r="C77" s="62" t="s">
        <v>52</v>
      </c>
      <c r="D77" s="62" t="s">
        <v>686</v>
      </c>
      <c r="E77" s="63">
        <f t="shared" si="6"/>
        <v>6048926.2934416514</v>
      </c>
      <c r="F77" s="63"/>
      <c r="G77" s="63"/>
      <c r="H77" s="63"/>
      <c r="I77" s="63"/>
      <c r="J77" s="63"/>
      <c r="K77" s="63"/>
      <c r="L77" s="63"/>
      <c r="M77" s="63">
        <v>5738993.2800000003</v>
      </c>
      <c r="N77" s="63"/>
      <c r="O77" s="63"/>
      <c r="P77" s="63"/>
      <c r="Q77" s="63"/>
      <c r="R77" s="63">
        <v>135639.08179199998</v>
      </c>
      <c r="S77" s="63">
        <v>24000</v>
      </c>
      <c r="T77" s="63">
        <v>150293.9316496512</v>
      </c>
      <c r="U77" s="67"/>
    </row>
    <row r="78" spans="1:21" x14ac:dyDescent="0.25">
      <c r="A78" s="60">
        <f t="shared" si="7"/>
        <v>52</v>
      </c>
      <c r="B78" s="61">
        <f t="shared" si="8"/>
        <v>52</v>
      </c>
      <c r="C78" s="62" t="s">
        <v>52</v>
      </c>
      <c r="D78" s="62" t="s">
        <v>687</v>
      </c>
      <c r="E78" s="63">
        <f t="shared" si="6"/>
        <v>1231516.4522619999</v>
      </c>
      <c r="F78" s="64"/>
      <c r="G78" s="64"/>
      <c r="H78" s="64"/>
      <c r="I78" s="64"/>
      <c r="J78" s="64">
        <f>1117005.032262+1399.01</f>
        <v>1118404.042262</v>
      </c>
      <c r="K78" s="64"/>
      <c r="L78" s="64"/>
      <c r="M78" s="64"/>
      <c r="N78" s="64"/>
      <c r="O78" s="64">
        <v>0</v>
      </c>
      <c r="P78" s="64">
        <v>0</v>
      </c>
      <c r="Q78" s="64">
        <v>0</v>
      </c>
      <c r="R78" s="64"/>
      <c r="S78" s="65"/>
      <c r="T78" s="66">
        <v>113112.41</v>
      </c>
      <c r="U78" s="67"/>
    </row>
    <row r="79" spans="1:21" x14ac:dyDescent="0.25">
      <c r="A79" s="60">
        <f t="shared" si="7"/>
        <v>53</v>
      </c>
      <c r="B79" s="61">
        <f t="shared" si="8"/>
        <v>53</v>
      </c>
      <c r="C79" s="62" t="s">
        <v>52</v>
      </c>
      <c r="D79" s="62" t="s">
        <v>688</v>
      </c>
      <c r="E79" s="63">
        <f t="shared" si="6"/>
        <v>784502.32414875994</v>
      </c>
      <c r="F79" s="64"/>
      <c r="G79" s="64"/>
      <c r="H79" s="64">
        <v>727596.98</v>
      </c>
      <c r="I79" s="64"/>
      <c r="J79" s="64"/>
      <c r="K79" s="64"/>
      <c r="L79" s="64"/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/>
      <c r="S79" s="65"/>
      <c r="T79" s="66">
        <v>56905.344148760007</v>
      </c>
      <c r="U79" s="67"/>
    </row>
    <row r="80" spans="1:21" x14ac:dyDescent="0.25">
      <c r="A80" s="60">
        <f t="shared" si="7"/>
        <v>54</v>
      </c>
      <c r="B80" s="61">
        <f t="shared" si="8"/>
        <v>54</v>
      </c>
      <c r="C80" s="62" t="s">
        <v>52</v>
      </c>
      <c r="D80" s="62" t="s">
        <v>689</v>
      </c>
      <c r="E80" s="63">
        <f t="shared" si="6"/>
        <v>4592465.8816174399</v>
      </c>
      <c r="F80" s="64">
        <v>2728315.47</v>
      </c>
      <c r="G80" s="64">
        <v>1047486.37</v>
      </c>
      <c r="H80" s="64">
        <v>607322.06000000006</v>
      </c>
      <c r="I80" s="64"/>
      <c r="J80" s="64"/>
      <c r="K80" s="64"/>
      <c r="L80" s="64"/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/>
      <c r="S80" s="65"/>
      <c r="T80" s="66">
        <v>209341.98161743997</v>
      </c>
      <c r="U80" s="67"/>
    </row>
    <row r="81" spans="1:21" x14ac:dyDescent="0.25">
      <c r="A81" s="60">
        <f t="shared" si="7"/>
        <v>55</v>
      </c>
      <c r="B81" s="61">
        <f t="shared" si="8"/>
        <v>55</v>
      </c>
      <c r="C81" s="62" t="s">
        <v>52</v>
      </c>
      <c r="D81" s="62" t="s">
        <v>1014</v>
      </c>
      <c r="E81" s="63">
        <f t="shared" si="6"/>
        <v>2718733.1342166201</v>
      </c>
      <c r="F81" s="64"/>
      <c r="G81" s="64">
        <v>0</v>
      </c>
      <c r="H81" s="64"/>
      <c r="I81" s="64">
        <v>1827661.8</v>
      </c>
      <c r="J81" s="64">
        <v>0</v>
      </c>
      <c r="K81" s="64"/>
      <c r="L81" s="64"/>
      <c r="M81" s="64">
        <v>0</v>
      </c>
      <c r="N81" s="64"/>
      <c r="O81" s="64">
        <v>0</v>
      </c>
      <c r="P81" s="64"/>
      <c r="Q81" s="64">
        <v>0</v>
      </c>
      <c r="R81" s="64"/>
      <c r="S81" s="65"/>
      <c r="T81" s="66">
        <v>891071.33421662007</v>
      </c>
      <c r="U81" s="67"/>
    </row>
    <row r="82" spans="1:21" x14ac:dyDescent="0.25">
      <c r="A82" s="60">
        <f t="shared" si="7"/>
        <v>56</v>
      </c>
      <c r="B82" s="61">
        <f t="shared" si="8"/>
        <v>56</v>
      </c>
      <c r="C82" s="62" t="s">
        <v>52</v>
      </c>
      <c r="D82" s="62" t="s">
        <v>1015</v>
      </c>
      <c r="E82" s="63">
        <f t="shared" si="6"/>
        <v>3385337.9774930598</v>
      </c>
      <c r="F82" s="64"/>
      <c r="G82" s="64">
        <v>0</v>
      </c>
      <c r="H82" s="64"/>
      <c r="I82" s="64"/>
      <c r="J82" s="64">
        <v>0</v>
      </c>
      <c r="K82" s="64"/>
      <c r="L82" s="64"/>
      <c r="M82" s="64">
        <v>0</v>
      </c>
      <c r="N82" s="64">
        <v>2845906.28</v>
      </c>
      <c r="O82" s="64">
        <v>0</v>
      </c>
      <c r="P82" s="64"/>
      <c r="Q82" s="64">
        <v>0</v>
      </c>
      <c r="R82" s="64"/>
      <c r="S82" s="65"/>
      <c r="T82" s="66">
        <v>539431.69749306003</v>
      </c>
      <c r="U82" s="67"/>
    </row>
    <row r="83" spans="1:21" x14ac:dyDescent="0.25">
      <c r="A83" s="60">
        <f t="shared" si="7"/>
        <v>57</v>
      </c>
      <c r="B83" s="61">
        <f t="shared" si="8"/>
        <v>57</v>
      </c>
      <c r="C83" s="62" t="s">
        <v>52</v>
      </c>
      <c r="D83" s="62" t="s">
        <v>1016</v>
      </c>
      <c r="E83" s="63">
        <f t="shared" si="6"/>
        <v>6382437.5058791805</v>
      </c>
      <c r="F83" s="64"/>
      <c r="G83" s="64">
        <v>0</v>
      </c>
      <c r="H83" s="71"/>
      <c r="I83" s="71"/>
      <c r="J83" s="64">
        <v>0</v>
      </c>
      <c r="K83" s="64"/>
      <c r="L83" s="64"/>
      <c r="M83" s="64">
        <v>0</v>
      </c>
      <c r="N83" s="64">
        <v>3018526.85</v>
      </c>
      <c r="O83" s="64">
        <v>0</v>
      </c>
      <c r="P83" s="64"/>
      <c r="Q83" s="64">
        <v>0</v>
      </c>
      <c r="R83" s="64">
        <v>2550189.8570000003</v>
      </c>
      <c r="S83" s="65">
        <f>278424.5693</f>
        <v>278424.56929999997</v>
      </c>
      <c r="T83" s="66">
        <v>535296.22957918001</v>
      </c>
      <c r="U83" s="67"/>
    </row>
    <row r="84" spans="1:21" x14ac:dyDescent="0.25">
      <c r="A84" s="60">
        <f t="shared" si="7"/>
        <v>58</v>
      </c>
      <c r="B84" s="61">
        <f t="shared" si="8"/>
        <v>58</v>
      </c>
      <c r="C84" s="62" t="s">
        <v>52</v>
      </c>
      <c r="D84" s="62" t="s">
        <v>690</v>
      </c>
      <c r="E84" s="63">
        <f t="shared" si="6"/>
        <v>9734596.8718827199</v>
      </c>
      <c r="F84" s="64"/>
      <c r="G84" s="64"/>
      <c r="H84" s="64"/>
      <c r="I84" s="64"/>
      <c r="J84" s="64">
        <v>0</v>
      </c>
      <c r="K84" s="64"/>
      <c r="L84" s="64"/>
      <c r="M84" s="64">
        <v>0</v>
      </c>
      <c r="N84" s="64">
        <v>0</v>
      </c>
      <c r="O84" s="64">
        <v>0</v>
      </c>
      <c r="P84" s="64">
        <v>9311700.5</v>
      </c>
      <c r="Q84" s="64">
        <v>0</v>
      </c>
      <c r="R84" s="64"/>
      <c r="S84" s="65"/>
      <c r="T84" s="66">
        <v>422896.37188271998</v>
      </c>
      <c r="U84" s="67"/>
    </row>
    <row r="85" spans="1:21" x14ac:dyDescent="0.25">
      <c r="A85" s="60">
        <f t="shared" si="7"/>
        <v>59</v>
      </c>
      <c r="B85" s="61">
        <f t="shared" si="8"/>
        <v>59</v>
      </c>
      <c r="C85" s="62" t="s">
        <v>52</v>
      </c>
      <c r="D85" s="62" t="s">
        <v>1017</v>
      </c>
      <c r="E85" s="63">
        <f t="shared" si="6"/>
        <v>34443200.645936362</v>
      </c>
      <c r="F85" s="64">
        <v>6954265.3799999999</v>
      </c>
      <c r="G85" s="64">
        <v>2374323.58</v>
      </c>
      <c r="H85" s="64">
        <v>3305645.72</v>
      </c>
      <c r="I85" s="64">
        <v>2650517.1800000002</v>
      </c>
      <c r="J85" s="64"/>
      <c r="K85" s="64"/>
      <c r="L85" s="64"/>
      <c r="M85" s="64"/>
      <c r="N85" s="64">
        <v>7951460.7199999997</v>
      </c>
      <c r="O85" s="64"/>
      <c r="P85" s="64"/>
      <c r="Q85" s="64">
        <v>9695977.5800000001</v>
      </c>
      <c r="R85" s="64">
        <v>328083.39630000002</v>
      </c>
      <c r="S85" s="65">
        <v>44553.206300000005</v>
      </c>
      <c r="T85" s="66">
        <v>1138373.8833363601</v>
      </c>
      <c r="U85" s="67"/>
    </row>
    <row r="86" spans="1:21" x14ac:dyDescent="0.25">
      <c r="A86" s="60">
        <f t="shared" si="7"/>
        <v>60</v>
      </c>
      <c r="B86" s="61">
        <f t="shared" si="8"/>
        <v>60</v>
      </c>
      <c r="C86" s="62" t="s">
        <v>52</v>
      </c>
      <c r="D86" s="62" t="s">
        <v>691</v>
      </c>
      <c r="E86" s="63">
        <f t="shared" si="6"/>
        <v>1171020.99</v>
      </c>
      <c r="F86" s="64"/>
      <c r="G86" s="64">
        <v>0</v>
      </c>
      <c r="H86" s="64">
        <v>0</v>
      </c>
      <c r="I86" s="64">
        <v>0</v>
      </c>
      <c r="J86" s="64">
        <v>1171020.99</v>
      </c>
      <c r="K86" s="64"/>
      <c r="L86" s="64"/>
      <c r="M86" s="64">
        <v>0</v>
      </c>
      <c r="N86" s="64"/>
      <c r="O86" s="64">
        <v>0</v>
      </c>
      <c r="P86" s="64"/>
      <c r="Q86" s="64"/>
      <c r="R86" s="64"/>
      <c r="S86" s="65"/>
      <c r="T86" s="66"/>
      <c r="U86" s="67"/>
    </row>
    <row r="87" spans="1:21" x14ac:dyDescent="0.25">
      <c r="A87" s="60">
        <f t="shared" si="7"/>
        <v>61</v>
      </c>
      <c r="B87" s="61">
        <f t="shared" si="8"/>
        <v>61</v>
      </c>
      <c r="C87" s="62" t="s">
        <v>52</v>
      </c>
      <c r="D87" s="62" t="s">
        <v>1018</v>
      </c>
      <c r="E87" s="63">
        <f t="shared" si="6"/>
        <v>20719813.758428805</v>
      </c>
      <c r="F87" s="64">
        <v>7847760.9900000002</v>
      </c>
      <c r="G87" s="64"/>
      <c r="H87" s="64"/>
      <c r="I87" s="64"/>
      <c r="J87" s="64"/>
      <c r="K87" s="64"/>
      <c r="L87" s="64"/>
      <c r="M87" s="64">
        <v>0</v>
      </c>
      <c r="N87" s="64">
        <v>0</v>
      </c>
      <c r="O87" s="64">
        <v>0</v>
      </c>
      <c r="P87" s="64">
        <v>0</v>
      </c>
      <c r="Q87" s="64">
        <f>7597182.26+3870122.95</f>
        <v>11467305.210000001</v>
      </c>
      <c r="R87" s="64">
        <v>504570.49899999995</v>
      </c>
      <c r="S87" s="65">
        <v>88504.399000000005</v>
      </c>
      <c r="T87" s="66">
        <v>811672.66042880015</v>
      </c>
      <c r="U87" s="67"/>
    </row>
    <row r="88" spans="1:21" x14ac:dyDescent="0.25">
      <c r="A88" s="60">
        <f t="shared" si="7"/>
        <v>62</v>
      </c>
      <c r="B88" s="61">
        <f t="shared" si="8"/>
        <v>62</v>
      </c>
      <c r="C88" s="62" t="s">
        <v>52</v>
      </c>
      <c r="D88" s="62" t="s">
        <v>1019</v>
      </c>
      <c r="E88" s="63">
        <f t="shared" si="6"/>
        <v>15568933.82189</v>
      </c>
      <c r="F88" s="64">
        <v>0</v>
      </c>
      <c r="G88" s="64">
        <v>0</v>
      </c>
      <c r="H88" s="64">
        <v>0</v>
      </c>
      <c r="I88" s="64">
        <v>0</v>
      </c>
      <c r="J88" s="64"/>
      <c r="K88" s="64"/>
      <c r="L88" s="64"/>
      <c r="M88" s="64">
        <v>0</v>
      </c>
      <c r="N88" s="64">
        <v>0</v>
      </c>
      <c r="O88" s="64">
        <v>0</v>
      </c>
      <c r="P88" s="64">
        <v>15562524.65</v>
      </c>
      <c r="Q88" s="64">
        <v>0</v>
      </c>
      <c r="R88" s="64"/>
      <c r="S88" s="65"/>
      <c r="T88" s="66">
        <v>6409.1718899999996</v>
      </c>
      <c r="U88" s="67"/>
    </row>
    <row r="89" spans="1:21" x14ac:dyDescent="0.25">
      <c r="A89" s="60">
        <f t="shared" si="7"/>
        <v>63</v>
      </c>
      <c r="B89" s="61">
        <f t="shared" si="8"/>
        <v>63</v>
      </c>
      <c r="C89" s="62" t="s">
        <v>52</v>
      </c>
      <c r="D89" s="62" t="s">
        <v>1020</v>
      </c>
      <c r="E89" s="63">
        <f t="shared" si="6"/>
        <v>14757670.589566819</v>
      </c>
      <c r="F89" s="64"/>
      <c r="G89" s="64"/>
      <c r="H89" s="64">
        <v>1212218.3400000001</v>
      </c>
      <c r="I89" s="64"/>
      <c r="J89" s="64"/>
      <c r="K89" s="64"/>
      <c r="L89" s="64"/>
      <c r="M89" s="64">
        <v>0</v>
      </c>
      <c r="N89" s="64"/>
      <c r="O89" s="64">
        <v>0</v>
      </c>
      <c r="P89" s="64">
        <v>12904791.25</v>
      </c>
      <c r="Q89" s="64"/>
      <c r="R89" s="64"/>
      <c r="S89" s="65"/>
      <c r="T89" s="66">
        <v>640660.99956681998</v>
      </c>
      <c r="U89" s="67"/>
    </row>
    <row r="90" spans="1:21" x14ac:dyDescent="0.25">
      <c r="A90" s="60">
        <f t="shared" si="7"/>
        <v>64</v>
      </c>
      <c r="B90" s="61">
        <f t="shared" si="8"/>
        <v>64</v>
      </c>
      <c r="C90" s="62" t="s">
        <v>52</v>
      </c>
      <c r="D90" s="62" t="s">
        <v>1021</v>
      </c>
      <c r="E90" s="63">
        <f t="shared" si="6"/>
        <v>14905757.105931221</v>
      </c>
      <c r="F90" s="64"/>
      <c r="G90" s="64"/>
      <c r="H90" s="64">
        <v>1218340.6599999999</v>
      </c>
      <c r="I90" s="64"/>
      <c r="J90" s="64"/>
      <c r="K90" s="64"/>
      <c r="L90" s="64"/>
      <c r="M90" s="64">
        <v>0</v>
      </c>
      <c r="N90" s="64"/>
      <c r="O90" s="64">
        <v>0</v>
      </c>
      <c r="P90" s="64">
        <v>13044527.99</v>
      </c>
      <c r="Q90" s="64"/>
      <c r="R90" s="64"/>
      <c r="S90" s="65"/>
      <c r="T90" s="66">
        <v>642888.45593122009</v>
      </c>
      <c r="U90" s="67"/>
    </row>
    <row r="91" spans="1:21" x14ac:dyDescent="0.25">
      <c r="A91" s="60">
        <f t="shared" si="7"/>
        <v>65</v>
      </c>
      <c r="B91" s="61">
        <f t="shared" si="8"/>
        <v>65</v>
      </c>
      <c r="C91" s="62" t="s">
        <v>52</v>
      </c>
      <c r="D91" s="62" t="s">
        <v>391</v>
      </c>
      <c r="E91" s="63">
        <f t="shared" ref="E91:E122" si="9">SUBTOTAL(9,F91:T91)</f>
        <v>9499544.7837941013</v>
      </c>
      <c r="F91" s="64">
        <v>6542286.3200000003</v>
      </c>
      <c r="G91" s="64">
        <v>0</v>
      </c>
      <c r="H91" s="64">
        <v>1697416.27</v>
      </c>
      <c r="I91" s="64">
        <v>0</v>
      </c>
      <c r="J91" s="64"/>
      <c r="K91" s="64"/>
      <c r="L91" s="64"/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937979.59060000011</v>
      </c>
      <c r="S91" s="65">
        <v>109643.86790000001</v>
      </c>
      <c r="T91" s="66">
        <v>212218.73529410001</v>
      </c>
      <c r="U91" s="67"/>
    </row>
    <row r="92" spans="1:21" x14ac:dyDescent="0.25">
      <c r="A92" s="60">
        <f t="shared" ref="A92:A123" si="10">+A91+1</f>
        <v>66</v>
      </c>
      <c r="B92" s="61">
        <f t="shared" ref="B92:B123" si="11">+B91+1</f>
        <v>66</v>
      </c>
      <c r="C92" s="62" t="s">
        <v>52</v>
      </c>
      <c r="D92" s="62" t="s">
        <v>1022</v>
      </c>
      <c r="E92" s="63">
        <f t="shared" si="9"/>
        <v>6122093.3446254004</v>
      </c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>
        <v>5951792.4900000002</v>
      </c>
      <c r="R92" s="64"/>
      <c r="S92" s="65"/>
      <c r="T92" s="66">
        <v>170300.85462540001</v>
      </c>
      <c r="U92" s="67"/>
    </row>
    <row r="93" spans="1:21" x14ac:dyDescent="0.25">
      <c r="A93" s="60">
        <f t="shared" si="10"/>
        <v>67</v>
      </c>
      <c r="B93" s="61">
        <f t="shared" si="11"/>
        <v>67</v>
      </c>
      <c r="C93" s="62" t="s">
        <v>52</v>
      </c>
      <c r="D93" s="62" t="s">
        <v>1023</v>
      </c>
      <c r="E93" s="63">
        <f t="shared" si="9"/>
        <v>13180476.834345801</v>
      </c>
      <c r="F93" s="64"/>
      <c r="G93" s="64"/>
      <c r="H93" s="64"/>
      <c r="I93" s="64"/>
      <c r="J93" s="64"/>
      <c r="K93" s="64"/>
      <c r="L93" s="64"/>
      <c r="M93" s="64"/>
      <c r="N93" s="64">
        <v>8640336.7400000002</v>
      </c>
      <c r="O93" s="64"/>
      <c r="P93" s="64"/>
      <c r="Q93" s="64">
        <v>4367516.82</v>
      </c>
      <c r="R93" s="64"/>
      <c r="S93" s="65"/>
      <c r="T93" s="66">
        <v>172623.27434580002</v>
      </c>
      <c r="U93" s="67"/>
    </row>
    <row r="94" spans="1:21" x14ac:dyDescent="0.25">
      <c r="A94" s="60">
        <f t="shared" si="10"/>
        <v>68</v>
      </c>
      <c r="B94" s="61">
        <f t="shared" si="11"/>
        <v>68</v>
      </c>
      <c r="C94" s="62" t="s">
        <v>52</v>
      </c>
      <c r="D94" s="62" t="s">
        <v>1024</v>
      </c>
      <c r="E94" s="63">
        <f t="shared" si="9"/>
        <v>6961640.1664998997</v>
      </c>
      <c r="F94" s="64"/>
      <c r="G94" s="64"/>
      <c r="H94" s="64"/>
      <c r="I94" s="64"/>
      <c r="J94" s="64"/>
      <c r="K94" s="64"/>
      <c r="L94" s="64"/>
      <c r="M94" s="64">
        <v>0</v>
      </c>
      <c r="N94" s="64"/>
      <c r="O94" s="64">
        <v>0</v>
      </c>
      <c r="P94" s="64"/>
      <c r="Q94" s="64">
        <v>6748339.8099999996</v>
      </c>
      <c r="R94" s="64"/>
      <c r="S94" s="65"/>
      <c r="T94" s="66">
        <v>213300.35649990002</v>
      </c>
      <c r="U94" s="67"/>
    </row>
    <row r="95" spans="1:21" x14ac:dyDescent="0.25">
      <c r="A95" s="60">
        <f t="shared" si="10"/>
        <v>69</v>
      </c>
      <c r="B95" s="61">
        <f t="shared" si="11"/>
        <v>69</v>
      </c>
      <c r="C95" s="62" t="s">
        <v>52</v>
      </c>
      <c r="D95" s="62" t="s">
        <v>1025</v>
      </c>
      <c r="E95" s="63">
        <f t="shared" si="9"/>
        <v>31419194.676773801</v>
      </c>
      <c r="F95" s="64">
        <v>9954639.8599999994</v>
      </c>
      <c r="G95" s="64">
        <v>6212728.6200000001</v>
      </c>
      <c r="H95" s="64"/>
      <c r="I95" s="64">
        <v>4876418.04</v>
      </c>
      <c r="J95" s="64"/>
      <c r="K95" s="64"/>
      <c r="L95" s="64"/>
      <c r="M95" s="64">
        <v>0</v>
      </c>
      <c r="N95" s="64">
        <v>9984420.9700000007</v>
      </c>
      <c r="O95" s="64">
        <v>0</v>
      </c>
      <c r="P95" s="64"/>
      <c r="Q95" s="64"/>
      <c r="R95" s="64"/>
      <c r="S95" s="65"/>
      <c r="T95" s="66">
        <v>390987.18677379994</v>
      </c>
      <c r="U95" s="67"/>
    </row>
    <row r="96" spans="1:21" s="74" customFormat="1" x14ac:dyDescent="0.25">
      <c r="A96" s="60">
        <f t="shared" si="10"/>
        <v>70</v>
      </c>
      <c r="B96" s="61">
        <f t="shared" si="11"/>
        <v>70</v>
      </c>
      <c r="C96" s="62" t="s">
        <v>52</v>
      </c>
      <c r="D96" s="62" t="s">
        <v>692</v>
      </c>
      <c r="E96" s="63">
        <f t="shared" si="9"/>
        <v>9021353.7382023316</v>
      </c>
      <c r="F96" s="63"/>
      <c r="G96" s="63"/>
      <c r="H96" s="63"/>
      <c r="I96" s="63"/>
      <c r="J96" s="63"/>
      <c r="K96" s="63"/>
      <c r="L96" s="63"/>
      <c r="M96" s="63">
        <v>8608489.9199999999</v>
      </c>
      <c r="N96" s="63"/>
      <c r="O96" s="63"/>
      <c r="P96" s="63"/>
      <c r="Q96" s="63"/>
      <c r="R96" s="63">
        <v>162285.00531609598</v>
      </c>
      <c r="S96" s="63">
        <v>24000</v>
      </c>
      <c r="T96" s="63">
        <v>226578.81288623557</v>
      </c>
      <c r="U96" s="67"/>
    </row>
    <row r="97" spans="1:21" x14ac:dyDescent="0.25">
      <c r="A97" s="60">
        <f t="shared" si="10"/>
        <v>71</v>
      </c>
      <c r="B97" s="61">
        <f t="shared" si="11"/>
        <v>71</v>
      </c>
      <c r="C97" s="62" t="s">
        <v>52</v>
      </c>
      <c r="D97" s="62" t="s">
        <v>693</v>
      </c>
      <c r="E97" s="63">
        <f t="shared" si="9"/>
        <v>29481765.911612157</v>
      </c>
      <c r="F97" s="64">
        <v>0</v>
      </c>
      <c r="G97" s="64">
        <v>0</v>
      </c>
      <c r="H97" s="64"/>
      <c r="I97" s="64">
        <v>0</v>
      </c>
      <c r="J97" s="64">
        <v>0</v>
      </c>
      <c r="K97" s="64"/>
      <c r="L97" s="64"/>
      <c r="M97" s="64">
        <v>0</v>
      </c>
      <c r="N97" s="64">
        <v>12527051.33</v>
      </c>
      <c r="O97" s="64">
        <v>0</v>
      </c>
      <c r="P97" s="64">
        <v>16115638.25</v>
      </c>
      <c r="Q97" s="64">
        <v>0</v>
      </c>
      <c r="R97" s="64"/>
      <c r="S97" s="65"/>
      <c r="T97" s="66">
        <v>839076.3316121602</v>
      </c>
      <c r="U97" s="67"/>
    </row>
    <row r="98" spans="1:21" x14ac:dyDescent="0.25">
      <c r="A98" s="60">
        <f t="shared" si="10"/>
        <v>72</v>
      </c>
      <c r="B98" s="61">
        <f t="shared" si="11"/>
        <v>72</v>
      </c>
      <c r="C98" s="62" t="s">
        <v>52</v>
      </c>
      <c r="D98" s="62" t="s">
        <v>237</v>
      </c>
      <c r="E98" s="63">
        <f t="shared" si="9"/>
        <v>1195255.9053653199</v>
      </c>
      <c r="F98" s="64"/>
      <c r="G98" s="71"/>
      <c r="H98" s="64">
        <v>1057009.1599999999</v>
      </c>
      <c r="I98" s="64"/>
      <c r="J98" s="64">
        <v>0</v>
      </c>
      <c r="K98" s="64"/>
      <c r="L98" s="64"/>
      <c r="M98" s="64">
        <v>0</v>
      </c>
      <c r="N98" s="71"/>
      <c r="O98" s="64">
        <v>0</v>
      </c>
      <c r="P98" s="64">
        <v>0</v>
      </c>
      <c r="Q98" s="64">
        <v>0</v>
      </c>
      <c r="R98" s="64"/>
      <c r="S98" s="65"/>
      <c r="T98" s="66">
        <v>138246.74536532001</v>
      </c>
      <c r="U98" s="67"/>
    </row>
    <row r="99" spans="1:21" x14ac:dyDescent="0.25">
      <c r="A99" s="60">
        <f t="shared" si="10"/>
        <v>73</v>
      </c>
      <c r="B99" s="61">
        <f t="shared" si="11"/>
        <v>73</v>
      </c>
      <c r="C99" s="62" t="s">
        <v>52</v>
      </c>
      <c r="D99" s="62" t="s">
        <v>1026</v>
      </c>
      <c r="E99" s="63">
        <f t="shared" si="9"/>
        <v>5574102.9828846604</v>
      </c>
      <c r="F99" s="64">
        <v>1651323.46</v>
      </c>
      <c r="G99" s="64"/>
      <c r="H99" s="64">
        <v>819773.26</v>
      </c>
      <c r="I99" s="64">
        <v>732192.34</v>
      </c>
      <c r="J99" s="64"/>
      <c r="K99" s="64"/>
      <c r="L99" s="64"/>
      <c r="M99" s="64">
        <v>0</v>
      </c>
      <c r="N99" s="64"/>
      <c r="O99" s="64">
        <v>0</v>
      </c>
      <c r="P99" s="64">
        <v>1813665.02</v>
      </c>
      <c r="Q99" s="64">
        <v>0</v>
      </c>
      <c r="R99" s="64"/>
      <c r="S99" s="65"/>
      <c r="T99" s="66">
        <v>557148.90288465994</v>
      </c>
      <c r="U99" s="67"/>
    </row>
    <row r="100" spans="1:21" x14ac:dyDescent="0.25">
      <c r="A100" s="60">
        <f t="shared" si="10"/>
        <v>74</v>
      </c>
      <c r="B100" s="61">
        <f t="shared" si="11"/>
        <v>74</v>
      </c>
      <c r="C100" s="62" t="s">
        <v>52</v>
      </c>
      <c r="D100" s="62" t="s">
        <v>1027</v>
      </c>
      <c r="E100" s="63">
        <f t="shared" si="9"/>
        <v>2006872.7686219998</v>
      </c>
      <c r="F100" s="64">
        <v>0</v>
      </c>
      <c r="G100" s="64">
        <v>0</v>
      </c>
      <c r="H100" s="64">
        <v>0</v>
      </c>
      <c r="I100" s="64">
        <v>0</v>
      </c>
      <c r="J100" s="64">
        <v>1842675.65</v>
      </c>
      <c r="K100" s="64"/>
      <c r="L100" s="64"/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123984.47</v>
      </c>
      <c r="S100" s="64"/>
      <c r="T100" s="66">
        <v>40212.648622000001</v>
      </c>
      <c r="U100" s="67"/>
    </row>
    <row r="101" spans="1:21" x14ac:dyDescent="0.25">
      <c r="A101" s="60">
        <f t="shared" si="10"/>
        <v>75</v>
      </c>
      <c r="B101" s="61">
        <f t="shared" si="11"/>
        <v>75</v>
      </c>
      <c r="C101" s="62" t="s">
        <v>52</v>
      </c>
      <c r="D101" s="62" t="s">
        <v>1028</v>
      </c>
      <c r="E101" s="63">
        <f t="shared" si="9"/>
        <v>2008071.8906700001</v>
      </c>
      <c r="F101" s="64">
        <v>0</v>
      </c>
      <c r="G101" s="64">
        <v>0</v>
      </c>
      <c r="H101" s="64">
        <v>0</v>
      </c>
      <c r="I101" s="64">
        <v>0</v>
      </c>
      <c r="J101" s="64">
        <v>1840005.31</v>
      </c>
      <c r="K101" s="64"/>
      <c r="L101" s="64"/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127902.76</v>
      </c>
      <c r="S101" s="64"/>
      <c r="T101" s="66">
        <v>40163.820670000001</v>
      </c>
      <c r="U101" s="67"/>
    </row>
    <row r="102" spans="1:21" x14ac:dyDescent="0.25">
      <c r="A102" s="60">
        <f t="shared" si="10"/>
        <v>76</v>
      </c>
      <c r="B102" s="61">
        <f t="shared" si="11"/>
        <v>76</v>
      </c>
      <c r="C102" s="62" t="s">
        <v>52</v>
      </c>
      <c r="D102" s="62" t="s">
        <v>1029</v>
      </c>
      <c r="E102" s="63">
        <f t="shared" si="9"/>
        <v>2179061.4200000004</v>
      </c>
      <c r="F102" s="64">
        <v>0</v>
      </c>
      <c r="G102" s="64">
        <v>0</v>
      </c>
      <c r="H102" s="64">
        <v>0</v>
      </c>
      <c r="I102" s="64">
        <v>0</v>
      </c>
      <c r="J102" s="64">
        <v>1980515.44</v>
      </c>
      <c r="K102" s="64"/>
      <c r="L102" s="64"/>
      <c r="M102" s="64">
        <v>0</v>
      </c>
      <c r="N102" s="64"/>
      <c r="O102" s="64">
        <v>0</v>
      </c>
      <c r="P102" s="64">
        <v>0</v>
      </c>
      <c r="Q102" s="64"/>
      <c r="R102" s="64">
        <v>123857.99</v>
      </c>
      <c r="S102" s="65"/>
      <c r="T102" s="66">
        <v>74687.990000000005</v>
      </c>
      <c r="U102" s="67"/>
    </row>
    <row r="103" spans="1:21" x14ac:dyDescent="0.25">
      <c r="A103" s="60">
        <f t="shared" si="10"/>
        <v>77</v>
      </c>
      <c r="B103" s="61">
        <f t="shared" si="11"/>
        <v>77</v>
      </c>
      <c r="C103" s="62" t="s">
        <v>52</v>
      </c>
      <c r="D103" s="62" t="s">
        <v>1030</v>
      </c>
      <c r="E103" s="63">
        <f t="shared" si="9"/>
        <v>856186.02</v>
      </c>
      <c r="F103" s="64">
        <v>0</v>
      </c>
      <c r="G103" s="64">
        <v>0</v>
      </c>
      <c r="H103" s="64">
        <v>0</v>
      </c>
      <c r="I103" s="64">
        <v>0</v>
      </c>
      <c r="J103" s="64">
        <v>856186.02</v>
      </c>
      <c r="K103" s="64"/>
      <c r="L103" s="64"/>
      <c r="M103" s="64">
        <v>0</v>
      </c>
      <c r="N103" s="64">
        <v>0</v>
      </c>
      <c r="O103" s="64">
        <v>0</v>
      </c>
      <c r="P103" s="64"/>
      <c r="Q103" s="64"/>
      <c r="R103" s="64"/>
      <c r="S103" s="65"/>
      <c r="T103" s="66"/>
      <c r="U103" s="67"/>
    </row>
    <row r="104" spans="1:21" x14ac:dyDescent="0.25">
      <c r="A104" s="60">
        <f t="shared" si="10"/>
        <v>78</v>
      </c>
      <c r="B104" s="61">
        <f t="shared" si="11"/>
        <v>78</v>
      </c>
      <c r="C104" s="62" t="s">
        <v>52</v>
      </c>
      <c r="D104" s="62" t="s">
        <v>694</v>
      </c>
      <c r="E104" s="63">
        <f t="shared" si="9"/>
        <v>2296257.4311860004</v>
      </c>
      <c r="F104" s="64">
        <v>0</v>
      </c>
      <c r="G104" s="64">
        <v>0</v>
      </c>
      <c r="H104" s="64"/>
      <c r="I104" s="64">
        <v>0</v>
      </c>
      <c r="J104" s="64">
        <v>2082908.19</v>
      </c>
      <c r="K104" s="64"/>
      <c r="L104" s="64"/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199499.01</v>
      </c>
      <c r="S104" s="65">
        <v>2000</v>
      </c>
      <c r="T104" s="66">
        <v>11850.231185999999</v>
      </c>
      <c r="U104" s="67"/>
    </row>
    <row r="105" spans="1:21" x14ac:dyDescent="0.25">
      <c r="A105" s="60">
        <f t="shared" si="10"/>
        <v>79</v>
      </c>
      <c r="B105" s="61">
        <f t="shared" si="11"/>
        <v>79</v>
      </c>
      <c r="C105" s="62" t="s">
        <v>52</v>
      </c>
      <c r="D105" s="62" t="s">
        <v>1031</v>
      </c>
      <c r="E105" s="63">
        <f t="shared" si="9"/>
        <v>16801922.47724456</v>
      </c>
      <c r="F105" s="64">
        <v>8268601.6299999999</v>
      </c>
      <c r="G105" s="64"/>
      <c r="H105" s="64">
        <v>3198417.38</v>
      </c>
      <c r="I105" s="64">
        <v>2797224.34</v>
      </c>
      <c r="J105" s="64"/>
      <c r="K105" s="64"/>
      <c r="L105" s="64"/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1945255.4768000001</v>
      </c>
      <c r="S105" s="65">
        <v>203313.06280000001</v>
      </c>
      <c r="T105" s="66">
        <v>389110.58764456003</v>
      </c>
      <c r="U105" s="67"/>
    </row>
    <row r="106" spans="1:21" x14ac:dyDescent="0.25">
      <c r="A106" s="60">
        <f t="shared" si="10"/>
        <v>80</v>
      </c>
      <c r="B106" s="61">
        <f t="shared" si="11"/>
        <v>80</v>
      </c>
      <c r="C106" s="62" t="s">
        <v>52</v>
      </c>
      <c r="D106" s="62" t="s">
        <v>1032</v>
      </c>
      <c r="E106" s="63">
        <f t="shared" si="9"/>
        <v>6920739.4009156814</v>
      </c>
      <c r="F106" s="64">
        <v>0</v>
      </c>
      <c r="G106" s="64"/>
      <c r="H106" s="64">
        <v>3491728.21</v>
      </c>
      <c r="I106" s="64"/>
      <c r="J106" s="64"/>
      <c r="K106" s="64"/>
      <c r="L106" s="64"/>
      <c r="M106" s="64">
        <v>0</v>
      </c>
      <c r="N106" s="64">
        <v>0</v>
      </c>
      <c r="O106" s="64">
        <v>0</v>
      </c>
      <c r="P106" s="64">
        <v>0</v>
      </c>
      <c r="Q106" s="64"/>
      <c r="R106" s="64">
        <v>2595059.9045922239</v>
      </c>
      <c r="S106" s="65">
        <v>223901.30645922237</v>
      </c>
      <c r="T106" s="66">
        <v>610049.97986423504</v>
      </c>
      <c r="U106" s="67"/>
    </row>
    <row r="107" spans="1:21" x14ac:dyDescent="0.25">
      <c r="A107" s="60">
        <f t="shared" si="10"/>
        <v>81</v>
      </c>
      <c r="B107" s="61">
        <f t="shared" si="11"/>
        <v>81</v>
      </c>
      <c r="C107" s="62" t="s">
        <v>52</v>
      </c>
      <c r="D107" s="62" t="s">
        <v>1033</v>
      </c>
      <c r="E107" s="63">
        <f t="shared" si="9"/>
        <v>10029177.534309041</v>
      </c>
      <c r="F107" s="64">
        <v>2770302.4300000006</v>
      </c>
      <c r="G107" s="64"/>
      <c r="H107" s="64"/>
      <c r="I107" s="64"/>
      <c r="J107" s="64"/>
      <c r="K107" s="64"/>
      <c r="L107" s="64"/>
      <c r="M107" s="64">
        <v>0</v>
      </c>
      <c r="N107" s="64">
        <v>6779379.8200000003</v>
      </c>
      <c r="O107" s="64">
        <v>0</v>
      </c>
      <c r="P107" s="64">
        <v>0</v>
      </c>
      <c r="Q107" s="64">
        <v>0</v>
      </c>
      <c r="R107" s="64">
        <v>216012.79999999999</v>
      </c>
      <c r="S107" s="65">
        <v>24000</v>
      </c>
      <c r="T107" s="66">
        <v>239482.48430904001</v>
      </c>
      <c r="U107" s="67"/>
    </row>
    <row r="108" spans="1:21" x14ac:dyDescent="0.25">
      <c r="A108" s="60">
        <f t="shared" si="10"/>
        <v>82</v>
      </c>
      <c r="B108" s="61">
        <f t="shared" si="11"/>
        <v>82</v>
      </c>
      <c r="C108" s="62" t="s">
        <v>52</v>
      </c>
      <c r="D108" s="62" t="s">
        <v>695</v>
      </c>
      <c r="E108" s="63">
        <f t="shared" si="9"/>
        <v>5379408.0875821002</v>
      </c>
      <c r="F108" s="64">
        <v>1643046.08</v>
      </c>
      <c r="G108" s="64"/>
      <c r="H108" s="64"/>
      <c r="I108" s="64"/>
      <c r="J108" s="64"/>
      <c r="K108" s="64"/>
      <c r="L108" s="64"/>
      <c r="M108" s="64">
        <v>0</v>
      </c>
      <c r="N108" s="64">
        <v>3461614.25</v>
      </c>
      <c r="O108" s="64">
        <v>0</v>
      </c>
      <c r="P108" s="64">
        <v>0</v>
      </c>
      <c r="Q108" s="64">
        <v>0</v>
      </c>
      <c r="R108" s="64">
        <v>156962.18</v>
      </c>
      <c r="S108" s="65">
        <v>24000</v>
      </c>
      <c r="T108" s="66">
        <v>93785.577582099999</v>
      </c>
      <c r="U108" s="67"/>
    </row>
    <row r="109" spans="1:21" x14ac:dyDescent="0.25">
      <c r="A109" s="60">
        <f t="shared" si="10"/>
        <v>83</v>
      </c>
      <c r="B109" s="61">
        <f t="shared" si="11"/>
        <v>83</v>
      </c>
      <c r="C109" s="62" t="s">
        <v>52</v>
      </c>
      <c r="D109" s="62" t="s">
        <v>1034</v>
      </c>
      <c r="E109" s="63">
        <f t="shared" si="9"/>
        <v>3305142.0224692803</v>
      </c>
      <c r="F109" s="64"/>
      <c r="G109" s="64"/>
      <c r="H109" s="64">
        <v>417598.24</v>
      </c>
      <c r="I109" s="64"/>
      <c r="J109" s="64"/>
      <c r="K109" s="64"/>
      <c r="L109" s="64"/>
      <c r="M109" s="64">
        <v>0</v>
      </c>
      <c r="N109" s="64">
        <v>2705657.8</v>
      </c>
      <c r="O109" s="64">
        <v>0</v>
      </c>
      <c r="P109" s="64">
        <v>0</v>
      </c>
      <c r="Q109" s="64">
        <v>0</v>
      </c>
      <c r="R109" s="64"/>
      <c r="S109" s="65"/>
      <c r="T109" s="66">
        <v>181885.98246928002</v>
      </c>
      <c r="U109" s="67"/>
    </row>
    <row r="110" spans="1:21" x14ac:dyDescent="0.25">
      <c r="A110" s="60">
        <f t="shared" si="10"/>
        <v>84</v>
      </c>
      <c r="B110" s="61">
        <f t="shared" si="11"/>
        <v>84</v>
      </c>
      <c r="C110" s="62" t="s">
        <v>52</v>
      </c>
      <c r="D110" s="62" t="s">
        <v>1035</v>
      </c>
      <c r="E110" s="63">
        <f t="shared" si="9"/>
        <v>11237171.892672002</v>
      </c>
      <c r="F110" s="64">
        <v>6273586.1500000004</v>
      </c>
      <c r="G110" s="64"/>
      <c r="H110" s="64">
        <v>1824432.9</v>
      </c>
      <c r="I110" s="64">
        <v>2750949.97</v>
      </c>
      <c r="J110" s="64"/>
      <c r="K110" s="64"/>
      <c r="L110" s="64"/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75835.89</v>
      </c>
      <c r="S110" s="65">
        <v>18000</v>
      </c>
      <c r="T110" s="66">
        <v>294366.98267199995</v>
      </c>
      <c r="U110" s="67"/>
    </row>
    <row r="111" spans="1:21" x14ac:dyDescent="0.25">
      <c r="A111" s="60">
        <f t="shared" si="10"/>
        <v>85</v>
      </c>
      <c r="B111" s="61">
        <f t="shared" si="11"/>
        <v>85</v>
      </c>
      <c r="C111" s="62" t="s">
        <v>52</v>
      </c>
      <c r="D111" s="62" t="s">
        <v>1036</v>
      </c>
      <c r="E111" s="63">
        <f t="shared" si="9"/>
        <v>11195845.836039999</v>
      </c>
      <c r="F111" s="64">
        <v>6230360.1900000004</v>
      </c>
      <c r="G111" s="64"/>
      <c r="H111" s="64">
        <v>1824432.9</v>
      </c>
      <c r="I111" s="64">
        <v>2756248.99</v>
      </c>
      <c r="J111" s="64"/>
      <c r="K111" s="64"/>
      <c r="L111" s="64"/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75653.789999999994</v>
      </c>
      <c r="S111" s="65">
        <v>18000</v>
      </c>
      <c r="T111" s="66">
        <v>291149.96604000009</v>
      </c>
      <c r="U111" s="67"/>
    </row>
    <row r="112" spans="1:21" x14ac:dyDescent="0.25">
      <c r="A112" s="60">
        <f t="shared" si="10"/>
        <v>86</v>
      </c>
      <c r="B112" s="61">
        <f t="shared" si="11"/>
        <v>86</v>
      </c>
      <c r="C112" s="62" t="s">
        <v>52</v>
      </c>
      <c r="D112" s="62" t="s">
        <v>1037</v>
      </c>
      <c r="E112" s="63">
        <f t="shared" si="9"/>
        <v>9426184.9459980018</v>
      </c>
      <c r="F112" s="64">
        <v>6321167.0899999999</v>
      </c>
      <c r="G112" s="64"/>
      <c r="H112" s="64"/>
      <c r="I112" s="64">
        <v>2717347.73</v>
      </c>
      <c r="J112" s="64"/>
      <c r="K112" s="64"/>
      <c r="L112" s="64"/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75730.05</v>
      </c>
      <c r="S112" s="65">
        <v>18000</v>
      </c>
      <c r="T112" s="66">
        <v>293940.07599800004</v>
      </c>
      <c r="U112" s="67"/>
    </row>
    <row r="113" spans="1:21" x14ac:dyDescent="0.25">
      <c r="A113" s="60">
        <f t="shared" si="10"/>
        <v>87</v>
      </c>
      <c r="B113" s="61">
        <f t="shared" si="11"/>
        <v>87</v>
      </c>
      <c r="C113" s="62" t="s">
        <v>52</v>
      </c>
      <c r="D113" s="62" t="s">
        <v>696</v>
      </c>
      <c r="E113" s="63">
        <f t="shared" si="9"/>
        <v>1102560.24537608</v>
      </c>
      <c r="F113" s="64"/>
      <c r="G113" s="71"/>
      <c r="H113" s="64">
        <v>642270.27</v>
      </c>
      <c r="I113" s="64"/>
      <c r="J113" s="64"/>
      <c r="K113" s="64"/>
      <c r="L113" s="64"/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352588.91</v>
      </c>
      <c r="S113" s="65">
        <v>24000</v>
      </c>
      <c r="T113" s="66">
        <v>83701.06537608002</v>
      </c>
      <c r="U113" s="67"/>
    </row>
    <row r="114" spans="1:21" x14ac:dyDescent="0.25">
      <c r="A114" s="60">
        <f t="shared" si="10"/>
        <v>88</v>
      </c>
      <c r="B114" s="61">
        <f t="shared" si="11"/>
        <v>88</v>
      </c>
      <c r="C114" s="62" t="s">
        <v>52</v>
      </c>
      <c r="D114" s="62" t="s">
        <v>246</v>
      </c>
      <c r="E114" s="63">
        <f t="shared" si="9"/>
        <v>2251928.7114039203</v>
      </c>
      <c r="F114" s="64"/>
      <c r="G114" s="64">
        <v>588065.09</v>
      </c>
      <c r="H114" s="64"/>
      <c r="I114" s="64">
        <v>500447.33</v>
      </c>
      <c r="J114" s="64">
        <v>469911.83</v>
      </c>
      <c r="K114" s="64"/>
      <c r="L114" s="64"/>
      <c r="M114" s="64">
        <v>0</v>
      </c>
      <c r="N114" s="64"/>
      <c r="O114" s="64">
        <v>0</v>
      </c>
      <c r="P114" s="64">
        <v>0</v>
      </c>
      <c r="Q114" s="64">
        <v>0</v>
      </c>
      <c r="R114" s="64">
        <v>513326.799</v>
      </c>
      <c r="S114" s="65">
        <v>73858.718200000003</v>
      </c>
      <c r="T114" s="66">
        <v>106318.94420392002</v>
      </c>
      <c r="U114" s="67"/>
    </row>
    <row r="115" spans="1:21" x14ac:dyDescent="0.25">
      <c r="A115" s="60">
        <f t="shared" si="10"/>
        <v>89</v>
      </c>
      <c r="B115" s="61">
        <f t="shared" si="11"/>
        <v>89</v>
      </c>
      <c r="C115" s="62" t="s">
        <v>52</v>
      </c>
      <c r="D115" s="62" t="s">
        <v>697</v>
      </c>
      <c r="E115" s="63">
        <f t="shared" si="9"/>
        <v>1618117.19564</v>
      </c>
      <c r="F115" s="64"/>
      <c r="G115" s="64"/>
      <c r="H115" s="64"/>
      <c r="I115" s="64"/>
      <c r="J115" s="64">
        <v>1092251.81</v>
      </c>
      <c r="K115" s="64"/>
      <c r="L115" s="64"/>
      <c r="M115" s="64"/>
      <c r="N115" s="64"/>
      <c r="O115" s="64">
        <v>0</v>
      </c>
      <c r="P115" s="64">
        <v>0</v>
      </c>
      <c r="Q115" s="64">
        <v>0</v>
      </c>
      <c r="R115" s="64">
        <v>501699.37999999995</v>
      </c>
      <c r="S115" s="65"/>
      <c r="T115" s="66">
        <v>24166.005639999999</v>
      </c>
      <c r="U115" s="67"/>
    </row>
    <row r="116" spans="1:21" x14ac:dyDescent="0.25">
      <c r="A116" s="60">
        <f t="shared" si="10"/>
        <v>90</v>
      </c>
      <c r="B116" s="61">
        <f t="shared" si="11"/>
        <v>90</v>
      </c>
      <c r="C116" s="62" t="s">
        <v>52</v>
      </c>
      <c r="D116" s="62" t="s">
        <v>547</v>
      </c>
      <c r="E116" s="63">
        <f t="shared" si="9"/>
        <v>20909986.949686639</v>
      </c>
      <c r="F116" s="64"/>
      <c r="G116" s="64"/>
      <c r="H116" s="64"/>
      <c r="I116" s="64"/>
      <c r="J116" s="64"/>
      <c r="K116" s="64"/>
      <c r="L116" s="64"/>
      <c r="M116" s="64"/>
      <c r="N116" s="64">
        <v>8833594.1600000001</v>
      </c>
      <c r="O116" s="64">
        <v>0</v>
      </c>
      <c r="P116" s="64">
        <v>11280169.18</v>
      </c>
      <c r="Q116" s="71"/>
      <c r="R116" s="64">
        <v>157634.31</v>
      </c>
      <c r="S116" s="65">
        <v>24000</v>
      </c>
      <c r="T116" s="66">
        <v>614589.29968664004</v>
      </c>
      <c r="U116" s="67"/>
    </row>
    <row r="117" spans="1:21" x14ac:dyDescent="0.25">
      <c r="A117" s="60">
        <f t="shared" si="10"/>
        <v>91</v>
      </c>
      <c r="B117" s="61">
        <f t="shared" si="11"/>
        <v>91</v>
      </c>
      <c r="C117" s="62" t="s">
        <v>52</v>
      </c>
      <c r="D117" s="62" t="s">
        <v>1038</v>
      </c>
      <c r="E117" s="63">
        <f t="shared" si="9"/>
        <v>27714212.62284708</v>
      </c>
      <c r="F117" s="64"/>
      <c r="G117" s="71"/>
      <c r="H117" s="64">
        <v>3146864.52</v>
      </c>
      <c r="I117" s="64">
        <v>2896787.04</v>
      </c>
      <c r="J117" s="64">
        <v>0</v>
      </c>
      <c r="K117" s="64"/>
      <c r="L117" s="64"/>
      <c r="M117" s="64">
        <v>0</v>
      </c>
      <c r="N117" s="64">
        <v>9859124.0999999996</v>
      </c>
      <c r="O117" s="64">
        <v>0</v>
      </c>
      <c r="P117" s="64">
        <v>6508599.5899999999</v>
      </c>
      <c r="Q117" s="64">
        <v>3276300</v>
      </c>
      <c r="R117" s="64">
        <v>434057.50000000006</v>
      </c>
      <c r="S117" s="65">
        <v>24000</v>
      </c>
      <c r="T117" s="66">
        <v>1568479.8728470802</v>
      </c>
      <c r="U117" s="67"/>
    </row>
    <row r="118" spans="1:21" x14ac:dyDescent="0.25">
      <c r="A118" s="60">
        <f t="shared" si="10"/>
        <v>92</v>
      </c>
      <c r="B118" s="61">
        <f t="shared" si="11"/>
        <v>92</v>
      </c>
      <c r="C118" s="62" t="s">
        <v>52</v>
      </c>
      <c r="D118" s="62" t="s">
        <v>1039</v>
      </c>
      <c r="E118" s="63">
        <f t="shared" si="9"/>
        <v>14611197.90710892</v>
      </c>
      <c r="F118" s="64"/>
      <c r="G118" s="71"/>
      <c r="H118" s="64">
        <v>2731732.82</v>
      </c>
      <c r="I118" s="71"/>
      <c r="J118" s="64">
        <v>0</v>
      </c>
      <c r="K118" s="64"/>
      <c r="L118" s="64"/>
      <c r="M118" s="64">
        <v>0</v>
      </c>
      <c r="N118" s="64">
        <v>9356498.1500000004</v>
      </c>
      <c r="O118" s="64">
        <v>0</v>
      </c>
      <c r="P118" s="64"/>
      <c r="Q118" s="64">
        <v>1381241.93</v>
      </c>
      <c r="R118" s="64">
        <v>311041.28110000002</v>
      </c>
      <c r="S118" s="65">
        <v>45051.6011</v>
      </c>
      <c r="T118" s="66">
        <v>785632.12490892003</v>
      </c>
      <c r="U118" s="67"/>
    </row>
    <row r="119" spans="1:21" x14ac:dyDescent="0.25">
      <c r="A119" s="60">
        <f t="shared" si="10"/>
        <v>93</v>
      </c>
      <c r="B119" s="61">
        <f t="shared" si="11"/>
        <v>93</v>
      </c>
      <c r="C119" s="62" t="s">
        <v>52</v>
      </c>
      <c r="D119" s="62" t="s">
        <v>1040</v>
      </c>
      <c r="E119" s="63">
        <f t="shared" si="9"/>
        <v>1092667.3</v>
      </c>
      <c r="F119" s="64">
        <v>0</v>
      </c>
      <c r="G119" s="64">
        <v>0</v>
      </c>
      <c r="H119" s="64">
        <v>0</v>
      </c>
      <c r="I119" s="64">
        <v>0</v>
      </c>
      <c r="J119" s="64">
        <v>1092667.3</v>
      </c>
      <c r="K119" s="64"/>
      <c r="L119" s="64"/>
      <c r="M119" s="64">
        <v>0</v>
      </c>
      <c r="N119" s="64">
        <v>0</v>
      </c>
      <c r="O119" s="64">
        <v>0</v>
      </c>
      <c r="P119" s="64"/>
      <c r="Q119" s="64">
        <v>0</v>
      </c>
      <c r="R119" s="64"/>
      <c r="S119" s="65"/>
      <c r="T119" s="66"/>
      <c r="U119" s="67"/>
    </row>
    <row r="120" spans="1:21" x14ac:dyDescent="0.25">
      <c r="A120" s="60">
        <f t="shared" si="10"/>
        <v>94</v>
      </c>
      <c r="B120" s="61">
        <f t="shared" si="11"/>
        <v>94</v>
      </c>
      <c r="C120" s="62" t="s">
        <v>52</v>
      </c>
      <c r="D120" s="62" t="s">
        <v>1041</v>
      </c>
      <c r="E120" s="63">
        <f t="shared" si="9"/>
        <v>1944736.54</v>
      </c>
      <c r="F120" s="64">
        <v>0</v>
      </c>
      <c r="G120" s="64">
        <v>0</v>
      </c>
      <c r="H120" s="64">
        <v>0</v>
      </c>
      <c r="I120" s="64">
        <v>0</v>
      </c>
      <c r="J120" s="64"/>
      <c r="K120" s="64"/>
      <c r="L120" s="64"/>
      <c r="M120" s="64">
        <v>0</v>
      </c>
      <c r="N120" s="64">
        <v>0</v>
      </c>
      <c r="O120" s="64">
        <v>0</v>
      </c>
      <c r="P120" s="64">
        <v>0</v>
      </c>
      <c r="Q120" s="64">
        <v>1937343.33</v>
      </c>
      <c r="R120" s="64"/>
      <c r="S120" s="65"/>
      <c r="T120" s="66">
        <v>7393.21</v>
      </c>
      <c r="U120" s="67"/>
    </row>
    <row r="121" spans="1:21" x14ac:dyDescent="0.25">
      <c r="A121" s="60">
        <f t="shared" si="10"/>
        <v>95</v>
      </c>
      <c r="B121" s="61">
        <f t="shared" si="11"/>
        <v>95</v>
      </c>
      <c r="C121" s="62" t="s">
        <v>52</v>
      </c>
      <c r="D121" s="62" t="s">
        <v>1042</v>
      </c>
      <c r="E121" s="63">
        <f t="shared" si="9"/>
        <v>3493023.9110059999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/>
      <c r="L121" s="64"/>
      <c r="M121" s="64">
        <v>0</v>
      </c>
      <c r="N121" s="64">
        <v>3264065.71</v>
      </c>
      <c r="O121" s="64">
        <v>0</v>
      </c>
      <c r="P121" s="64">
        <v>0</v>
      </c>
      <c r="Q121" s="64">
        <v>0</v>
      </c>
      <c r="R121" s="64">
        <v>122084.94</v>
      </c>
      <c r="S121" s="64">
        <v>24000</v>
      </c>
      <c r="T121" s="66">
        <v>82873.261006000001</v>
      </c>
      <c r="U121" s="67"/>
    </row>
    <row r="122" spans="1:21" x14ac:dyDescent="0.25">
      <c r="A122" s="60">
        <f t="shared" si="10"/>
        <v>96</v>
      </c>
      <c r="B122" s="61">
        <f t="shared" si="11"/>
        <v>96</v>
      </c>
      <c r="C122" s="62" t="s">
        <v>52</v>
      </c>
      <c r="D122" s="62" t="s">
        <v>1043</v>
      </c>
      <c r="E122" s="63">
        <f t="shared" si="9"/>
        <v>8609691.4240093995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/>
      <c r="L122" s="64"/>
      <c r="M122" s="64">
        <v>0</v>
      </c>
      <c r="N122" s="64">
        <v>7551202.7000000002</v>
      </c>
      <c r="O122" s="64">
        <v>0</v>
      </c>
      <c r="P122" s="64">
        <v>0</v>
      </c>
      <c r="Q122" s="64">
        <v>0</v>
      </c>
      <c r="R122" s="64">
        <v>852132.39209999994</v>
      </c>
      <c r="S122" s="65">
        <v>24000</v>
      </c>
      <c r="T122" s="66">
        <v>182356.33190939997</v>
      </c>
      <c r="U122" s="67"/>
    </row>
    <row r="123" spans="1:21" x14ac:dyDescent="0.25">
      <c r="A123" s="60">
        <f t="shared" si="10"/>
        <v>97</v>
      </c>
      <c r="B123" s="61">
        <f t="shared" si="11"/>
        <v>97</v>
      </c>
      <c r="C123" s="62" t="s">
        <v>52</v>
      </c>
      <c r="D123" s="62" t="s">
        <v>1044</v>
      </c>
      <c r="E123" s="63">
        <f t="shared" ref="E123:E154" si="12">SUBTOTAL(9,F123:T123)</f>
        <v>18469307.326755162</v>
      </c>
      <c r="F123" s="71"/>
      <c r="G123" s="64"/>
      <c r="H123" s="71"/>
      <c r="I123" s="71"/>
      <c r="J123" s="64"/>
      <c r="K123" s="64"/>
      <c r="L123" s="64"/>
      <c r="M123" s="64">
        <v>0</v>
      </c>
      <c r="N123" s="64">
        <v>12780973.57</v>
      </c>
      <c r="O123" s="64">
        <v>0</v>
      </c>
      <c r="P123" s="64"/>
      <c r="Q123" s="64"/>
      <c r="R123" s="64">
        <v>4341944.4309</v>
      </c>
      <c r="S123" s="65">
        <v>461523.41969999997</v>
      </c>
      <c r="T123" s="66">
        <v>884865.90615516005</v>
      </c>
      <c r="U123" s="67"/>
    </row>
    <row r="124" spans="1:21" x14ac:dyDescent="0.25">
      <c r="A124" s="60">
        <f t="shared" ref="A124:A155" si="13">+A123+1</f>
        <v>98</v>
      </c>
      <c r="B124" s="61">
        <f t="shared" ref="B124:B155" si="14">+B123+1</f>
        <v>98</v>
      </c>
      <c r="C124" s="62" t="s">
        <v>52</v>
      </c>
      <c r="D124" s="62" t="s">
        <v>698</v>
      </c>
      <c r="E124" s="63">
        <f t="shared" si="12"/>
        <v>24274955.771498859</v>
      </c>
      <c r="F124" s="64"/>
      <c r="G124" s="64"/>
      <c r="H124" s="64"/>
      <c r="I124" s="64"/>
      <c r="J124" s="64"/>
      <c r="K124" s="64"/>
      <c r="L124" s="64"/>
      <c r="M124" s="64"/>
      <c r="N124" s="64"/>
      <c r="O124" s="64">
        <v>0</v>
      </c>
      <c r="P124" s="64">
        <v>22920438.079999998</v>
      </c>
      <c r="Q124" s="64"/>
      <c r="R124" s="64">
        <v>237586.77</v>
      </c>
      <c r="S124" s="65"/>
      <c r="T124" s="66">
        <v>1116930.9214988602</v>
      </c>
      <c r="U124" s="67"/>
    </row>
    <row r="125" spans="1:21" x14ac:dyDescent="0.25">
      <c r="A125" s="60">
        <f t="shared" si="13"/>
        <v>99</v>
      </c>
      <c r="B125" s="61">
        <f t="shared" si="14"/>
        <v>99</v>
      </c>
      <c r="C125" s="62" t="s">
        <v>52</v>
      </c>
      <c r="D125" s="62" t="s">
        <v>1045</v>
      </c>
      <c r="E125" s="63">
        <f t="shared" si="12"/>
        <v>24384542.330598522</v>
      </c>
      <c r="F125" s="64"/>
      <c r="G125" s="64"/>
      <c r="H125" s="64"/>
      <c r="I125" s="64"/>
      <c r="J125" s="64"/>
      <c r="K125" s="64"/>
      <c r="L125" s="64"/>
      <c r="M125" s="64"/>
      <c r="N125" s="64"/>
      <c r="O125" s="64">
        <v>0</v>
      </c>
      <c r="P125" s="64">
        <v>23040371.91</v>
      </c>
      <c r="Q125" s="64"/>
      <c r="R125" s="64">
        <v>237124.23</v>
      </c>
      <c r="S125" s="65"/>
      <c r="T125" s="66">
        <v>1107046.1905985202</v>
      </c>
      <c r="U125" s="67"/>
    </row>
    <row r="126" spans="1:21" x14ac:dyDescent="0.25">
      <c r="A126" s="60">
        <f t="shared" si="13"/>
        <v>100</v>
      </c>
      <c r="B126" s="61">
        <f t="shared" si="14"/>
        <v>100</v>
      </c>
      <c r="C126" s="62" t="s">
        <v>52</v>
      </c>
      <c r="D126" s="62" t="s">
        <v>699</v>
      </c>
      <c r="E126" s="63">
        <f t="shared" si="12"/>
        <v>1151789.168633756</v>
      </c>
      <c r="F126" s="64"/>
      <c r="G126" s="64"/>
      <c r="H126" s="64">
        <v>655531.02</v>
      </c>
      <c r="I126" s="64"/>
      <c r="J126" s="64"/>
      <c r="K126" s="64"/>
      <c r="L126" s="64"/>
      <c r="M126" s="64"/>
      <c r="N126" s="64"/>
      <c r="O126" s="64"/>
      <c r="P126" s="64"/>
      <c r="Q126" s="71"/>
      <c r="R126" s="64"/>
      <c r="S126" s="65"/>
      <c r="T126" s="66">
        <v>496258.14863375603</v>
      </c>
      <c r="U126" s="67"/>
    </row>
    <row r="127" spans="1:21" x14ac:dyDescent="0.25">
      <c r="A127" s="60">
        <f t="shared" si="13"/>
        <v>101</v>
      </c>
      <c r="B127" s="61">
        <f t="shared" si="14"/>
        <v>101</v>
      </c>
      <c r="C127" s="62" t="s">
        <v>52</v>
      </c>
      <c r="D127" s="62" t="s">
        <v>700</v>
      </c>
      <c r="E127" s="63">
        <f t="shared" si="12"/>
        <v>8825748.4216627013</v>
      </c>
      <c r="F127" s="64"/>
      <c r="G127" s="64">
        <v>1337737.05</v>
      </c>
      <c r="H127" s="64">
        <v>613148.77</v>
      </c>
      <c r="I127" s="64">
        <v>943239.55</v>
      </c>
      <c r="J127" s="64"/>
      <c r="K127" s="64"/>
      <c r="L127" s="64"/>
      <c r="M127" s="64">
        <v>0</v>
      </c>
      <c r="N127" s="64">
        <v>3170792.72</v>
      </c>
      <c r="O127" s="64">
        <v>0</v>
      </c>
      <c r="P127" s="64">
        <v>0</v>
      </c>
      <c r="Q127" s="64">
        <v>0</v>
      </c>
      <c r="R127" s="64">
        <v>2090379.2508999999</v>
      </c>
      <c r="S127" s="65">
        <v>229328.92859999998</v>
      </c>
      <c r="T127" s="66">
        <v>441122.15216270008</v>
      </c>
      <c r="U127" s="67"/>
    </row>
    <row r="128" spans="1:21" x14ac:dyDescent="0.25">
      <c r="A128" s="60">
        <f t="shared" si="13"/>
        <v>102</v>
      </c>
      <c r="B128" s="61">
        <f t="shared" si="14"/>
        <v>102</v>
      </c>
      <c r="C128" s="62" t="s">
        <v>52</v>
      </c>
      <c r="D128" s="62" t="s">
        <v>701</v>
      </c>
      <c r="E128" s="63">
        <f t="shared" si="12"/>
        <v>3582145.82</v>
      </c>
      <c r="F128" s="64">
        <v>2763321.73</v>
      </c>
      <c r="G128" s="64"/>
      <c r="H128" s="64"/>
      <c r="I128" s="64"/>
      <c r="J128" s="64"/>
      <c r="K128" s="64">
        <v>0</v>
      </c>
      <c r="L128" s="64"/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788750.73</v>
      </c>
      <c r="S128" s="65"/>
      <c r="T128" s="66">
        <v>30073.360000000001</v>
      </c>
      <c r="U128" s="67"/>
    </row>
    <row r="129" spans="1:22" x14ac:dyDescent="0.25">
      <c r="A129" s="60">
        <f t="shared" si="13"/>
        <v>103</v>
      </c>
      <c r="B129" s="61">
        <f t="shared" si="14"/>
        <v>103</v>
      </c>
      <c r="C129" s="62" t="s">
        <v>52</v>
      </c>
      <c r="D129" s="62" t="s">
        <v>702</v>
      </c>
      <c r="E129" s="63">
        <f t="shared" si="12"/>
        <v>1013056.9700000001</v>
      </c>
      <c r="F129" s="64">
        <v>0</v>
      </c>
      <c r="G129" s="64">
        <v>0</v>
      </c>
      <c r="H129" s="64">
        <v>0</v>
      </c>
      <c r="I129" s="64">
        <v>0</v>
      </c>
      <c r="J129" s="64">
        <v>1007223.29</v>
      </c>
      <c r="K129" s="64"/>
      <c r="L129" s="64"/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/>
      <c r="S129" s="65"/>
      <c r="T129" s="66">
        <v>5833.68</v>
      </c>
      <c r="U129" s="67"/>
    </row>
    <row r="130" spans="1:22" x14ac:dyDescent="0.25">
      <c r="A130" s="60">
        <f t="shared" si="13"/>
        <v>104</v>
      </c>
      <c r="B130" s="61">
        <f t="shared" si="14"/>
        <v>104</v>
      </c>
      <c r="C130" s="62" t="s">
        <v>52</v>
      </c>
      <c r="D130" s="62" t="s">
        <v>1046</v>
      </c>
      <c r="E130" s="63">
        <f t="shared" si="12"/>
        <v>12649312.870907839</v>
      </c>
      <c r="F130" s="64">
        <v>3644506.14</v>
      </c>
      <c r="G130" s="64"/>
      <c r="H130" s="64">
        <v>914465.47</v>
      </c>
      <c r="I130" s="64"/>
      <c r="J130" s="64">
        <v>0</v>
      </c>
      <c r="K130" s="64"/>
      <c r="L130" s="64"/>
      <c r="M130" s="64">
        <v>0</v>
      </c>
      <c r="N130" s="64">
        <v>3794408.23</v>
      </c>
      <c r="O130" s="64">
        <v>0</v>
      </c>
      <c r="P130" s="64">
        <v>0</v>
      </c>
      <c r="Q130" s="64">
        <v>3615223.51</v>
      </c>
      <c r="R130" s="64">
        <v>160007.0122</v>
      </c>
      <c r="S130" s="65">
        <v>37048.782200000001</v>
      </c>
      <c r="T130" s="66">
        <v>483653.72650783998</v>
      </c>
      <c r="U130" s="67"/>
    </row>
    <row r="131" spans="1:22" x14ac:dyDescent="0.25">
      <c r="A131" s="60">
        <f t="shared" si="13"/>
        <v>105</v>
      </c>
      <c r="B131" s="61">
        <f t="shared" si="14"/>
        <v>105</v>
      </c>
      <c r="C131" s="62" t="s">
        <v>52</v>
      </c>
      <c r="D131" s="62" t="s">
        <v>1047</v>
      </c>
      <c r="E131" s="63">
        <f t="shared" si="12"/>
        <v>56109594.188878097</v>
      </c>
      <c r="F131" s="64"/>
      <c r="G131" s="64"/>
      <c r="H131" s="71"/>
      <c r="I131" s="64"/>
      <c r="J131" s="64"/>
      <c r="K131" s="64"/>
      <c r="L131" s="64"/>
      <c r="M131" s="64"/>
      <c r="N131" s="64">
        <v>14003938.84</v>
      </c>
      <c r="O131" s="64"/>
      <c r="P131" s="64">
        <v>32173395.460000001</v>
      </c>
      <c r="Q131" s="64">
        <v>8022917.0300000003</v>
      </c>
      <c r="R131" s="64">
        <v>228290.3</v>
      </c>
      <c r="S131" s="65"/>
      <c r="T131" s="66">
        <v>1681052.5588781</v>
      </c>
      <c r="U131" s="67"/>
    </row>
    <row r="132" spans="1:22" x14ac:dyDescent="0.25">
      <c r="A132" s="60">
        <f t="shared" si="13"/>
        <v>106</v>
      </c>
      <c r="B132" s="61">
        <f t="shared" si="14"/>
        <v>106</v>
      </c>
      <c r="C132" s="62" t="s">
        <v>52</v>
      </c>
      <c r="D132" s="62" t="s">
        <v>1048</v>
      </c>
      <c r="E132" s="63">
        <f t="shared" si="12"/>
        <v>28210776.703030359</v>
      </c>
      <c r="F132" s="64">
        <v>6509238.7699999996</v>
      </c>
      <c r="G132" s="64">
        <v>2319400.21</v>
      </c>
      <c r="H132" s="64">
        <v>3775889.5</v>
      </c>
      <c r="I132" s="64">
        <v>1790627.54</v>
      </c>
      <c r="J132" s="64"/>
      <c r="K132" s="64"/>
      <c r="L132" s="64"/>
      <c r="M132" s="64">
        <v>0</v>
      </c>
      <c r="N132" s="64">
        <v>4646956.9000000004</v>
      </c>
      <c r="O132" s="64">
        <v>0</v>
      </c>
      <c r="P132" s="64">
        <v>5003516.4000000004</v>
      </c>
      <c r="Q132" s="64">
        <v>2513954.87</v>
      </c>
      <c r="R132" s="64"/>
      <c r="S132" s="65"/>
      <c r="T132" s="66">
        <v>1651192.5130303577</v>
      </c>
      <c r="U132" s="67"/>
      <c r="V132" s="75"/>
    </row>
    <row r="133" spans="1:22" x14ac:dyDescent="0.25">
      <c r="A133" s="60">
        <f t="shared" si="13"/>
        <v>107</v>
      </c>
      <c r="B133" s="61">
        <f t="shared" si="14"/>
        <v>107</v>
      </c>
      <c r="C133" s="62" t="s">
        <v>52</v>
      </c>
      <c r="D133" s="62" t="s">
        <v>123</v>
      </c>
      <c r="E133" s="63">
        <f t="shared" si="12"/>
        <v>8373368.8852534005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/>
      <c r="L133" s="64"/>
      <c r="M133" s="64">
        <v>0</v>
      </c>
      <c r="N133" s="64">
        <v>6528558.9900000002</v>
      </c>
      <c r="O133" s="64">
        <v>0</v>
      </c>
      <c r="P133" s="64">
        <v>0</v>
      </c>
      <c r="Q133" s="64">
        <v>0</v>
      </c>
      <c r="R133" s="64">
        <v>1523817.8800000001</v>
      </c>
      <c r="S133" s="65"/>
      <c r="T133" s="66">
        <v>320992.01525340008</v>
      </c>
      <c r="U133" s="67"/>
    </row>
    <row r="134" spans="1:22" x14ac:dyDescent="0.25">
      <c r="A134" s="60">
        <f t="shared" si="13"/>
        <v>108</v>
      </c>
      <c r="B134" s="61">
        <f t="shared" si="14"/>
        <v>108</v>
      </c>
      <c r="C134" s="62" t="s">
        <v>52</v>
      </c>
      <c r="D134" s="62" t="s">
        <v>1049</v>
      </c>
      <c r="E134" s="63">
        <f t="shared" si="12"/>
        <v>8125441.1614079997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/>
      <c r="L134" s="64"/>
      <c r="M134" s="64">
        <v>0</v>
      </c>
      <c r="N134" s="64">
        <v>6264359.7599999998</v>
      </c>
      <c r="O134" s="64">
        <v>0</v>
      </c>
      <c r="P134" s="64">
        <v>0</v>
      </c>
      <c r="Q134" s="64">
        <v>0</v>
      </c>
      <c r="R134" s="64">
        <v>1547459.25</v>
      </c>
      <c r="S134" s="65"/>
      <c r="T134" s="66">
        <v>313622.15140800003</v>
      </c>
      <c r="U134" s="67"/>
    </row>
    <row r="135" spans="1:22" x14ac:dyDescent="0.25">
      <c r="A135" s="60">
        <f t="shared" si="13"/>
        <v>109</v>
      </c>
      <c r="B135" s="61">
        <f t="shared" si="14"/>
        <v>109</v>
      </c>
      <c r="C135" s="62" t="s">
        <v>52</v>
      </c>
      <c r="D135" s="62" t="s">
        <v>703</v>
      </c>
      <c r="E135" s="63">
        <f t="shared" si="12"/>
        <v>435458</v>
      </c>
      <c r="F135" s="64">
        <v>0</v>
      </c>
      <c r="G135" s="64">
        <v>0</v>
      </c>
      <c r="H135" s="64">
        <v>0</v>
      </c>
      <c r="I135" s="64">
        <v>0</v>
      </c>
      <c r="J135" s="64">
        <v>435458</v>
      </c>
      <c r="K135" s="64"/>
      <c r="L135" s="64"/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/>
      <c r="S135" s="65"/>
      <c r="T135" s="66"/>
      <c r="U135" s="67"/>
    </row>
    <row r="136" spans="1:22" x14ac:dyDescent="0.25">
      <c r="A136" s="60">
        <f t="shared" si="13"/>
        <v>110</v>
      </c>
      <c r="B136" s="61">
        <f t="shared" si="14"/>
        <v>110</v>
      </c>
      <c r="C136" s="62" t="s">
        <v>52</v>
      </c>
      <c r="D136" s="62" t="s">
        <v>704</v>
      </c>
      <c r="E136" s="63">
        <f t="shared" si="12"/>
        <v>1097504.5</v>
      </c>
      <c r="F136" s="64">
        <v>0</v>
      </c>
      <c r="G136" s="64"/>
      <c r="H136" s="64">
        <v>0</v>
      </c>
      <c r="I136" s="71"/>
      <c r="J136" s="64">
        <v>1097504.5</v>
      </c>
      <c r="K136" s="64"/>
      <c r="L136" s="64"/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/>
      <c r="S136" s="64"/>
      <c r="T136" s="66"/>
      <c r="U136" s="67"/>
    </row>
    <row r="137" spans="1:22" x14ac:dyDescent="0.25">
      <c r="A137" s="60">
        <f t="shared" si="13"/>
        <v>111</v>
      </c>
      <c r="B137" s="61">
        <f t="shared" si="14"/>
        <v>111</v>
      </c>
      <c r="C137" s="62" t="s">
        <v>52</v>
      </c>
      <c r="D137" s="62" t="s">
        <v>705</v>
      </c>
      <c r="E137" s="63">
        <f t="shared" si="12"/>
        <v>678959.93939557998</v>
      </c>
      <c r="F137" s="64"/>
      <c r="G137" s="64"/>
      <c r="H137" s="64"/>
      <c r="I137" s="64"/>
      <c r="J137" s="64">
        <v>500183.41</v>
      </c>
      <c r="K137" s="64"/>
      <c r="L137" s="64"/>
      <c r="M137" s="64">
        <v>0</v>
      </c>
      <c r="N137" s="64">
        <v>0</v>
      </c>
      <c r="O137" s="64">
        <v>0</v>
      </c>
      <c r="P137" s="64"/>
      <c r="Q137" s="64">
        <v>0</v>
      </c>
      <c r="R137" s="64"/>
      <c r="S137" s="65"/>
      <c r="T137" s="66">
        <v>178776.52939558003</v>
      </c>
      <c r="U137" s="67"/>
    </row>
    <row r="138" spans="1:22" x14ac:dyDescent="0.25">
      <c r="A138" s="60">
        <f t="shared" si="13"/>
        <v>112</v>
      </c>
      <c r="B138" s="61">
        <f t="shared" si="14"/>
        <v>112</v>
      </c>
      <c r="C138" s="62" t="s">
        <v>52</v>
      </c>
      <c r="D138" s="62" t="s">
        <v>706</v>
      </c>
      <c r="E138" s="63">
        <f t="shared" si="12"/>
        <v>994811.65</v>
      </c>
      <c r="F138" s="64">
        <v>0</v>
      </c>
      <c r="G138" s="64">
        <v>0</v>
      </c>
      <c r="H138" s="64">
        <v>0</v>
      </c>
      <c r="I138" s="64">
        <v>0</v>
      </c>
      <c r="J138" s="64">
        <v>994811.65</v>
      </c>
      <c r="K138" s="64"/>
      <c r="L138" s="64"/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/>
      <c r="S138" s="65"/>
      <c r="T138" s="66"/>
      <c r="U138" s="67"/>
    </row>
    <row r="139" spans="1:22" x14ac:dyDescent="0.25">
      <c r="A139" s="60">
        <f t="shared" si="13"/>
        <v>113</v>
      </c>
      <c r="B139" s="61">
        <f t="shared" si="14"/>
        <v>113</v>
      </c>
      <c r="C139" s="62" t="s">
        <v>52</v>
      </c>
      <c r="D139" s="62" t="s">
        <v>1050</v>
      </c>
      <c r="E139" s="63">
        <f t="shared" si="12"/>
        <v>2196546.3422400001</v>
      </c>
      <c r="F139" s="64"/>
      <c r="G139" s="64"/>
      <c r="H139" s="64"/>
      <c r="I139" s="64"/>
      <c r="J139" s="64">
        <v>2104784.6800000002</v>
      </c>
      <c r="K139" s="64"/>
      <c r="L139" s="64"/>
      <c r="M139" s="64">
        <v>0</v>
      </c>
      <c r="N139" s="64">
        <v>0</v>
      </c>
      <c r="O139" s="64"/>
      <c r="P139" s="64"/>
      <c r="Q139" s="64"/>
      <c r="R139" s="64">
        <v>2857.14</v>
      </c>
      <c r="S139" s="65">
        <v>24000</v>
      </c>
      <c r="T139" s="66">
        <v>64904.522240000006</v>
      </c>
      <c r="U139" s="67"/>
    </row>
    <row r="140" spans="1:22" x14ac:dyDescent="0.25">
      <c r="A140" s="60">
        <f t="shared" si="13"/>
        <v>114</v>
      </c>
      <c r="B140" s="61">
        <f t="shared" si="14"/>
        <v>114</v>
      </c>
      <c r="C140" s="62" t="s">
        <v>52</v>
      </c>
      <c r="D140" s="62" t="s">
        <v>1051</v>
      </c>
      <c r="E140" s="63">
        <f t="shared" si="12"/>
        <v>22252018.226827998</v>
      </c>
      <c r="F140" s="64"/>
      <c r="G140" s="64"/>
      <c r="H140" s="64"/>
      <c r="I140" s="64"/>
      <c r="J140" s="64"/>
      <c r="K140" s="64"/>
      <c r="L140" s="64"/>
      <c r="M140" s="64">
        <v>0</v>
      </c>
      <c r="N140" s="64"/>
      <c r="O140" s="64">
        <v>0</v>
      </c>
      <c r="P140" s="64">
        <v>21575728.449999999</v>
      </c>
      <c r="Q140" s="64"/>
      <c r="R140" s="64"/>
      <c r="S140" s="65"/>
      <c r="T140" s="66">
        <v>676289.77682800009</v>
      </c>
      <c r="U140" s="67"/>
    </row>
    <row r="141" spans="1:22" x14ac:dyDescent="0.25">
      <c r="A141" s="60">
        <f t="shared" si="13"/>
        <v>115</v>
      </c>
      <c r="B141" s="61">
        <f t="shared" si="14"/>
        <v>115</v>
      </c>
      <c r="C141" s="62" t="s">
        <v>52</v>
      </c>
      <c r="D141" s="62" t="s">
        <v>1052</v>
      </c>
      <c r="E141" s="63">
        <f t="shared" si="12"/>
        <v>24178412.226240739</v>
      </c>
      <c r="F141" s="64">
        <v>5305996.59</v>
      </c>
      <c r="G141" s="71"/>
      <c r="H141" s="71"/>
      <c r="I141" s="71"/>
      <c r="J141" s="64"/>
      <c r="K141" s="64"/>
      <c r="L141" s="64"/>
      <c r="M141" s="64">
        <v>0</v>
      </c>
      <c r="N141" s="64">
        <v>4125438.85</v>
      </c>
      <c r="O141" s="64">
        <v>0</v>
      </c>
      <c r="P141" s="64">
        <v>13688562.5</v>
      </c>
      <c r="Q141" s="64"/>
      <c r="R141" s="64"/>
      <c r="S141" s="65"/>
      <c r="T141" s="66">
        <v>1058414.2862407397</v>
      </c>
      <c r="U141" s="67"/>
    </row>
    <row r="142" spans="1:22" x14ac:dyDescent="0.25">
      <c r="A142" s="60">
        <f t="shared" si="13"/>
        <v>116</v>
      </c>
      <c r="B142" s="61">
        <f t="shared" si="14"/>
        <v>116</v>
      </c>
      <c r="C142" s="62" t="s">
        <v>52</v>
      </c>
      <c r="D142" s="62" t="s">
        <v>707</v>
      </c>
      <c r="E142" s="63">
        <f t="shared" si="12"/>
        <v>1817380.4565099401</v>
      </c>
      <c r="F142" s="64"/>
      <c r="G142" s="64"/>
      <c r="H142" s="64">
        <v>707768.48</v>
      </c>
      <c r="I142" s="64">
        <v>953897.51</v>
      </c>
      <c r="J142" s="64"/>
      <c r="K142" s="64"/>
      <c r="L142" s="64"/>
      <c r="M142" s="64">
        <v>0</v>
      </c>
      <c r="N142" s="64">
        <v>0</v>
      </c>
      <c r="O142" s="64">
        <v>0</v>
      </c>
      <c r="P142" s="64"/>
      <c r="Q142" s="64">
        <v>0</v>
      </c>
      <c r="R142" s="64"/>
      <c r="S142" s="65"/>
      <c r="T142" s="66">
        <v>155714.46650994002</v>
      </c>
      <c r="U142" s="67"/>
    </row>
    <row r="143" spans="1:22" x14ac:dyDescent="0.25">
      <c r="A143" s="60">
        <f t="shared" si="13"/>
        <v>117</v>
      </c>
      <c r="B143" s="61">
        <f t="shared" si="14"/>
        <v>117</v>
      </c>
      <c r="C143" s="62" t="s">
        <v>44</v>
      </c>
      <c r="D143" s="62" t="s">
        <v>772</v>
      </c>
      <c r="E143" s="63">
        <f t="shared" si="12"/>
        <v>9785218.7020976003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/>
      <c r="L143" s="64"/>
      <c r="M143" s="64">
        <v>0</v>
      </c>
      <c r="N143" s="64">
        <v>9447493.2200000007</v>
      </c>
      <c r="O143" s="64">
        <v>0</v>
      </c>
      <c r="P143" s="64"/>
      <c r="Q143" s="64"/>
      <c r="R143" s="64"/>
      <c r="S143" s="65"/>
      <c r="T143" s="66">
        <v>337725.48209760012</v>
      </c>
      <c r="U143" s="67"/>
    </row>
    <row r="144" spans="1:22" x14ac:dyDescent="0.25">
      <c r="A144" s="60">
        <f t="shared" si="13"/>
        <v>118</v>
      </c>
      <c r="B144" s="61">
        <f t="shared" si="14"/>
        <v>118</v>
      </c>
      <c r="C144" s="62" t="s">
        <v>44</v>
      </c>
      <c r="D144" s="62" t="s">
        <v>773</v>
      </c>
      <c r="E144" s="63">
        <f t="shared" si="12"/>
        <v>459932.97</v>
      </c>
      <c r="F144" s="64">
        <v>0</v>
      </c>
      <c r="G144" s="64">
        <v>0</v>
      </c>
      <c r="H144" s="64">
        <v>0</v>
      </c>
      <c r="I144" s="64">
        <v>0</v>
      </c>
      <c r="J144" s="64">
        <v>459932.97</v>
      </c>
      <c r="K144" s="64"/>
      <c r="L144" s="64"/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/>
      <c r="S144" s="65"/>
      <c r="T144" s="66"/>
      <c r="U144" s="67"/>
    </row>
    <row r="145" spans="1:21" x14ac:dyDescent="0.25">
      <c r="A145" s="60">
        <f t="shared" si="13"/>
        <v>119</v>
      </c>
      <c r="B145" s="61">
        <f t="shared" si="14"/>
        <v>119</v>
      </c>
      <c r="C145" s="62" t="s">
        <v>44</v>
      </c>
      <c r="D145" s="62" t="s">
        <v>774</v>
      </c>
      <c r="E145" s="63">
        <f t="shared" si="12"/>
        <v>7411233.7756144591</v>
      </c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>
        <v>6404791.8899999997</v>
      </c>
      <c r="R145" s="64">
        <v>779909.40100000007</v>
      </c>
      <c r="S145" s="65">
        <v>77990.940099999993</v>
      </c>
      <c r="T145" s="66">
        <v>148541.54451445999</v>
      </c>
      <c r="U145" s="67"/>
    </row>
    <row r="146" spans="1:21" x14ac:dyDescent="0.25">
      <c r="A146" s="60">
        <f t="shared" si="13"/>
        <v>120</v>
      </c>
      <c r="B146" s="61">
        <f t="shared" si="14"/>
        <v>120</v>
      </c>
      <c r="C146" s="62" t="s">
        <v>44</v>
      </c>
      <c r="D146" s="62" t="s">
        <v>775</v>
      </c>
      <c r="E146" s="63">
        <f t="shared" si="12"/>
        <v>1318598.3729000001</v>
      </c>
      <c r="F146" s="64">
        <v>0</v>
      </c>
      <c r="G146" s="64"/>
      <c r="H146" s="64">
        <v>1005861.31</v>
      </c>
      <c r="I146" s="64">
        <v>0</v>
      </c>
      <c r="J146" s="64"/>
      <c r="K146" s="64"/>
      <c r="L146" s="64"/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268460.93900000001</v>
      </c>
      <c r="S146" s="65">
        <v>26846.093900000003</v>
      </c>
      <c r="T146" s="66">
        <v>17430.03</v>
      </c>
      <c r="U146" s="67"/>
    </row>
    <row r="147" spans="1:21" x14ac:dyDescent="0.25">
      <c r="A147" s="60">
        <f t="shared" si="13"/>
        <v>121</v>
      </c>
      <c r="B147" s="61">
        <f t="shared" si="14"/>
        <v>121</v>
      </c>
      <c r="C147" s="62" t="s">
        <v>44</v>
      </c>
      <c r="D147" s="62" t="s">
        <v>776</v>
      </c>
      <c r="E147" s="63">
        <f t="shared" si="12"/>
        <v>2497571.4777621999</v>
      </c>
      <c r="F147" s="64">
        <v>0</v>
      </c>
      <c r="G147" s="64"/>
      <c r="H147" s="64"/>
      <c r="I147" s="64"/>
      <c r="J147" s="64">
        <v>0</v>
      </c>
      <c r="K147" s="64"/>
      <c r="L147" s="64"/>
      <c r="M147" s="64">
        <v>0</v>
      </c>
      <c r="N147" s="64">
        <v>2408460.1</v>
      </c>
      <c r="O147" s="64">
        <v>0</v>
      </c>
      <c r="P147" s="64">
        <v>0</v>
      </c>
      <c r="Q147" s="64">
        <v>0</v>
      </c>
      <c r="R147" s="64"/>
      <c r="S147" s="65"/>
      <c r="T147" s="66">
        <v>89111.377762199991</v>
      </c>
      <c r="U147" s="67"/>
    </row>
    <row r="148" spans="1:21" x14ac:dyDescent="0.25">
      <c r="A148" s="60">
        <f t="shared" si="13"/>
        <v>122</v>
      </c>
      <c r="B148" s="61">
        <f t="shared" si="14"/>
        <v>122</v>
      </c>
      <c r="C148" s="62" t="s">
        <v>64</v>
      </c>
      <c r="D148" s="62" t="s">
        <v>777</v>
      </c>
      <c r="E148" s="63">
        <f t="shared" si="12"/>
        <v>977997.34184702008</v>
      </c>
      <c r="F148" s="64">
        <v>918312.05</v>
      </c>
      <c r="G148" s="64"/>
      <c r="H148" s="64"/>
      <c r="I148" s="64"/>
      <c r="J148" s="64">
        <v>0</v>
      </c>
      <c r="K148" s="64"/>
      <c r="L148" s="64"/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/>
      <c r="S148" s="65"/>
      <c r="T148" s="66">
        <v>59685.291847020017</v>
      </c>
      <c r="U148" s="67"/>
    </row>
    <row r="149" spans="1:21" x14ac:dyDescent="0.25">
      <c r="A149" s="60">
        <f t="shared" si="13"/>
        <v>123</v>
      </c>
      <c r="B149" s="61">
        <f t="shared" si="14"/>
        <v>123</v>
      </c>
      <c r="C149" s="62" t="s">
        <v>55</v>
      </c>
      <c r="D149" s="62" t="s">
        <v>782</v>
      </c>
      <c r="E149" s="63">
        <f t="shared" si="12"/>
        <v>5475068.96438374</v>
      </c>
      <c r="F149" s="64"/>
      <c r="G149" s="64"/>
      <c r="H149" s="64">
        <v>0</v>
      </c>
      <c r="I149" s="64"/>
      <c r="J149" s="64"/>
      <c r="K149" s="64"/>
      <c r="L149" s="64"/>
      <c r="M149" s="64">
        <v>0</v>
      </c>
      <c r="N149" s="64">
        <v>0</v>
      </c>
      <c r="O149" s="71"/>
      <c r="P149" s="64">
        <v>0</v>
      </c>
      <c r="Q149" s="64">
        <v>3924912.66</v>
      </c>
      <c r="R149" s="64">
        <v>1200305.659</v>
      </c>
      <c r="S149" s="65">
        <v>108232.6369</v>
      </c>
      <c r="T149" s="66">
        <v>241618.00848373998</v>
      </c>
      <c r="U149" s="67"/>
    </row>
    <row r="150" spans="1:21" x14ac:dyDescent="0.25">
      <c r="A150" s="60">
        <f t="shared" si="13"/>
        <v>124</v>
      </c>
      <c r="B150" s="61">
        <f t="shared" si="14"/>
        <v>124</v>
      </c>
      <c r="C150" s="62" t="s">
        <v>55</v>
      </c>
      <c r="D150" s="62" t="s">
        <v>783</v>
      </c>
      <c r="E150" s="63">
        <f t="shared" si="12"/>
        <v>5269327.2909560008</v>
      </c>
      <c r="F150" s="64">
        <v>0</v>
      </c>
      <c r="G150" s="64"/>
      <c r="H150" s="64"/>
      <c r="I150" s="64"/>
      <c r="J150" s="64">
        <v>0</v>
      </c>
      <c r="K150" s="64"/>
      <c r="L150" s="64"/>
      <c r="M150" s="64">
        <v>0</v>
      </c>
      <c r="N150" s="64">
        <v>4903240.6500000004</v>
      </c>
      <c r="O150" s="64">
        <v>0</v>
      </c>
      <c r="P150" s="64">
        <v>0</v>
      </c>
      <c r="Q150" s="64">
        <v>0</v>
      </c>
      <c r="R150" s="64">
        <v>229623.16999999998</v>
      </c>
      <c r="S150" s="65">
        <v>6666.66</v>
      </c>
      <c r="T150" s="66">
        <v>129796.81095600002</v>
      </c>
      <c r="U150" s="67"/>
    </row>
    <row r="151" spans="1:21" x14ac:dyDescent="0.25">
      <c r="A151" s="60">
        <f t="shared" si="13"/>
        <v>125</v>
      </c>
      <c r="B151" s="61">
        <f t="shared" si="14"/>
        <v>125</v>
      </c>
      <c r="C151" s="62" t="s">
        <v>55</v>
      </c>
      <c r="D151" s="62" t="s">
        <v>784</v>
      </c>
      <c r="E151" s="63">
        <f t="shared" si="12"/>
        <v>5224437.8286898192</v>
      </c>
      <c r="F151" s="64"/>
      <c r="G151" s="64"/>
      <c r="H151" s="64"/>
      <c r="I151" s="64"/>
      <c r="J151" s="64"/>
      <c r="K151" s="64"/>
      <c r="L151" s="64"/>
      <c r="M151" s="64">
        <v>0</v>
      </c>
      <c r="N151" s="64">
        <v>0</v>
      </c>
      <c r="O151" s="71"/>
      <c r="P151" s="64">
        <v>0</v>
      </c>
      <c r="Q151" s="64">
        <v>3209479.43</v>
      </c>
      <c r="R151" s="64">
        <v>1575434.3365000002</v>
      </c>
      <c r="S151" s="65">
        <v>151747.05220000001</v>
      </c>
      <c r="T151" s="66">
        <v>287777.00998981996</v>
      </c>
      <c r="U151" s="67"/>
    </row>
    <row r="152" spans="1:21" x14ac:dyDescent="0.25">
      <c r="A152" s="60">
        <f t="shared" si="13"/>
        <v>126</v>
      </c>
      <c r="B152" s="61">
        <f t="shared" si="14"/>
        <v>126</v>
      </c>
      <c r="C152" s="62" t="s">
        <v>55</v>
      </c>
      <c r="D152" s="62" t="s">
        <v>785</v>
      </c>
      <c r="E152" s="63">
        <f t="shared" si="12"/>
        <v>5699865.1681458</v>
      </c>
      <c r="F152" s="64"/>
      <c r="G152" s="64"/>
      <c r="H152" s="64"/>
      <c r="I152" s="64"/>
      <c r="J152" s="64"/>
      <c r="K152" s="64"/>
      <c r="L152" s="64"/>
      <c r="M152" s="64">
        <v>0</v>
      </c>
      <c r="N152" s="64">
        <v>0</v>
      </c>
      <c r="O152" s="71"/>
      <c r="P152" s="64">
        <v>0</v>
      </c>
      <c r="Q152" s="64">
        <v>4230200.7</v>
      </c>
      <c r="R152" s="64">
        <v>1151371.1732999999</v>
      </c>
      <c r="S152" s="65">
        <v>109963.64969999999</v>
      </c>
      <c r="T152" s="66">
        <v>208329.64514579996</v>
      </c>
      <c r="U152" s="67"/>
    </row>
    <row r="153" spans="1:21" x14ac:dyDescent="0.25">
      <c r="A153" s="60">
        <f t="shared" si="13"/>
        <v>127</v>
      </c>
      <c r="B153" s="61">
        <f t="shared" si="14"/>
        <v>127</v>
      </c>
      <c r="C153" s="62" t="s">
        <v>55</v>
      </c>
      <c r="D153" s="62" t="s">
        <v>786</v>
      </c>
      <c r="E153" s="63">
        <f t="shared" si="12"/>
        <v>5854211.9964419995</v>
      </c>
      <c r="F153" s="64">
        <v>0</v>
      </c>
      <c r="G153" s="64"/>
      <c r="H153" s="64"/>
      <c r="I153" s="64"/>
      <c r="J153" s="64">
        <v>0</v>
      </c>
      <c r="K153" s="64"/>
      <c r="L153" s="64"/>
      <c r="M153" s="64">
        <v>0</v>
      </c>
      <c r="N153" s="64">
        <v>5484086.3899999997</v>
      </c>
      <c r="O153" s="64">
        <v>0</v>
      </c>
      <c r="P153" s="64">
        <v>0</v>
      </c>
      <c r="Q153" s="64">
        <v>0</v>
      </c>
      <c r="R153" s="64">
        <v>229304.55</v>
      </c>
      <c r="S153" s="65">
        <v>6666.66</v>
      </c>
      <c r="T153" s="66">
        <v>134154.396442</v>
      </c>
      <c r="U153" s="67"/>
    </row>
    <row r="154" spans="1:21" x14ac:dyDescent="0.25">
      <c r="A154" s="60">
        <f t="shared" si="13"/>
        <v>128</v>
      </c>
      <c r="B154" s="61">
        <f t="shared" si="14"/>
        <v>128</v>
      </c>
      <c r="C154" s="62" t="s">
        <v>56</v>
      </c>
      <c r="D154" s="62" t="s">
        <v>794</v>
      </c>
      <c r="E154" s="63">
        <f t="shared" si="12"/>
        <v>7339250.7175320005</v>
      </c>
      <c r="F154" s="71"/>
      <c r="G154" s="71"/>
      <c r="H154" s="71"/>
      <c r="I154" s="71"/>
      <c r="J154" s="64">
        <v>0</v>
      </c>
      <c r="K154" s="64"/>
      <c r="L154" s="64"/>
      <c r="M154" s="64">
        <v>0</v>
      </c>
      <c r="N154" s="64">
        <v>6665001.5300000003</v>
      </c>
      <c r="O154" s="64">
        <v>0</v>
      </c>
      <c r="P154" s="64"/>
      <c r="Q154" s="64"/>
      <c r="R154" s="64"/>
      <c r="S154" s="65"/>
      <c r="T154" s="66">
        <v>674249.18753199989</v>
      </c>
      <c r="U154" s="67"/>
    </row>
    <row r="155" spans="1:21" x14ac:dyDescent="0.25">
      <c r="A155" s="60">
        <f t="shared" si="13"/>
        <v>129</v>
      </c>
      <c r="B155" s="61">
        <f t="shared" si="14"/>
        <v>129</v>
      </c>
      <c r="C155" s="62" t="s">
        <v>66</v>
      </c>
      <c r="D155" s="62" t="s">
        <v>796</v>
      </c>
      <c r="E155" s="63">
        <f t="shared" ref="E155:E186" si="15">SUBTOTAL(9,F155:T155)</f>
        <v>7581577</v>
      </c>
      <c r="F155" s="64">
        <v>5331233.07</v>
      </c>
      <c r="G155" s="64"/>
      <c r="H155" s="64"/>
      <c r="I155" s="64">
        <v>2162679.08</v>
      </c>
      <c r="J155" s="64">
        <v>0</v>
      </c>
      <c r="K155" s="64"/>
      <c r="L155" s="64"/>
      <c r="M155" s="64">
        <v>0</v>
      </c>
      <c r="N155" s="64"/>
      <c r="O155" s="64">
        <v>0</v>
      </c>
      <c r="P155" s="64"/>
      <c r="Q155" s="71"/>
      <c r="R155" s="64"/>
      <c r="S155" s="64"/>
      <c r="T155" s="66">
        <v>87664.849999999991</v>
      </c>
      <c r="U155" s="67"/>
    </row>
    <row r="156" spans="1:21" x14ac:dyDescent="0.25">
      <c r="A156" s="60">
        <f t="shared" ref="A156:A187" si="16">+A155+1</f>
        <v>130</v>
      </c>
      <c r="B156" s="61">
        <f t="shared" ref="B156:B187" si="17">+B155+1</f>
        <v>130</v>
      </c>
      <c r="C156" s="62" t="s">
        <v>66</v>
      </c>
      <c r="D156" s="62" t="s">
        <v>797</v>
      </c>
      <c r="E156" s="63">
        <f t="shared" si="15"/>
        <v>12740666.644782159</v>
      </c>
      <c r="F156" s="64">
        <v>0</v>
      </c>
      <c r="G156" s="64">
        <v>0</v>
      </c>
      <c r="H156" s="64"/>
      <c r="I156" s="64">
        <v>0</v>
      </c>
      <c r="J156" s="64">
        <v>0</v>
      </c>
      <c r="K156" s="64"/>
      <c r="L156" s="64"/>
      <c r="M156" s="64">
        <v>0</v>
      </c>
      <c r="N156" s="64">
        <v>0</v>
      </c>
      <c r="O156" s="64">
        <v>0</v>
      </c>
      <c r="P156" s="64">
        <v>12568038.82</v>
      </c>
      <c r="Q156" s="64">
        <v>0</v>
      </c>
      <c r="R156" s="64"/>
      <c r="S156" s="65"/>
      <c r="T156" s="66">
        <v>172627.82478215999</v>
      </c>
      <c r="U156" s="67"/>
    </row>
    <row r="157" spans="1:21" x14ac:dyDescent="0.25">
      <c r="A157" s="60">
        <f t="shared" si="16"/>
        <v>131</v>
      </c>
      <c r="B157" s="61">
        <f t="shared" si="17"/>
        <v>131</v>
      </c>
      <c r="C157" s="62" t="s">
        <v>45</v>
      </c>
      <c r="D157" s="62" t="s">
        <v>404</v>
      </c>
      <c r="E157" s="63">
        <f t="shared" si="15"/>
        <v>275546.21000000002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/>
      <c r="L157" s="64"/>
      <c r="M157" s="64">
        <v>0</v>
      </c>
      <c r="N157" s="64">
        <v>0</v>
      </c>
      <c r="O157" s="64">
        <v>0</v>
      </c>
      <c r="P157" s="64">
        <v>0</v>
      </c>
      <c r="Q157" s="64">
        <v>275546.21000000002</v>
      </c>
      <c r="R157" s="64"/>
      <c r="S157" s="65"/>
      <c r="T157" s="66"/>
      <c r="U157" s="67"/>
    </row>
    <row r="158" spans="1:21" x14ac:dyDescent="0.25">
      <c r="A158" s="60">
        <f t="shared" si="16"/>
        <v>132</v>
      </c>
      <c r="B158" s="61">
        <f t="shared" si="17"/>
        <v>132</v>
      </c>
      <c r="C158" s="62" t="s">
        <v>45</v>
      </c>
      <c r="D158" s="62" t="s">
        <v>819</v>
      </c>
      <c r="E158" s="63">
        <f t="shared" si="15"/>
        <v>2485206.7500000005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/>
      <c r="L158" s="64"/>
      <c r="M158" s="64">
        <v>0</v>
      </c>
      <c r="N158" s="64">
        <v>1968122.3400000003</v>
      </c>
      <c r="O158" s="64">
        <v>0</v>
      </c>
      <c r="P158" s="64">
        <v>0</v>
      </c>
      <c r="Q158" s="64">
        <v>517084.41000000003</v>
      </c>
      <c r="R158" s="64"/>
      <c r="S158" s="65"/>
      <c r="T158" s="66"/>
      <c r="U158" s="67"/>
    </row>
    <row r="159" spans="1:21" x14ac:dyDescent="0.25">
      <c r="A159" s="60">
        <f t="shared" si="16"/>
        <v>133</v>
      </c>
      <c r="B159" s="61">
        <f t="shared" si="17"/>
        <v>133</v>
      </c>
      <c r="C159" s="62" t="s">
        <v>45</v>
      </c>
      <c r="D159" s="62" t="s">
        <v>823</v>
      </c>
      <c r="E159" s="63">
        <f t="shared" si="15"/>
        <v>1052989.615364</v>
      </c>
      <c r="F159" s="64"/>
      <c r="G159" s="64">
        <v>624846.18000000005</v>
      </c>
      <c r="H159" s="64"/>
      <c r="I159" s="64">
        <v>317481.74</v>
      </c>
      <c r="J159" s="64">
        <v>0</v>
      </c>
      <c r="K159" s="64"/>
      <c r="L159" s="64"/>
      <c r="M159" s="64">
        <v>0</v>
      </c>
      <c r="N159" s="64"/>
      <c r="O159" s="64">
        <v>0</v>
      </c>
      <c r="P159" s="64"/>
      <c r="Q159" s="64"/>
      <c r="R159" s="64"/>
      <c r="S159" s="65"/>
      <c r="T159" s="66">
        <v>110661.69536400001</v>
      </c>
      <c r="U159" s="67"/>
    </row>
    <row r="160" spans="1:21" x14ac:dyDescent="0.25">
      <c r="A160" s="60">
        <f t="shared" si="16"/>
        <v>134</v>
      </c>
      <c r="B160" s="61">
        <f t="shared" si="17"/>
        <v>134</v>
      </c>
      <c r="C160" s="62" t="s">
        <v>45</v>
      </c>
      <c r="D160" s="62" t="s">
        <v>817</v>
      </c>
      <c r="E160" s="63">
        <f t="shared" si="15"/>
        <v>1332134.6908183601</v>
      </c>
      <c r="F160" s="64"/>
      <c r="G160" s="64">
        <v>691727.99</v>
      </c>
      <c r="H160" s="64"/>
      <c r="I160" s="64">
        <v>374090.08</v>
      </c>
      <c r="J160" s="64">
        <v>0</v>
      </c>
      <c r="K160" s="64"/>
      <c r="L160" s="64"/>
      <c r="M160" s="64">
        <v>0</v>
      </c>
      <c r="N160" s="64"/>
      <c r="O160" s="64"/>
      <c r="P160" s="64"/>
      <c r="Q160" s="71"/>
      <c r="R160" s="64"/>
      <c r="S160" s="65"/>
      <c r="T160" s="66">
        <v>266316.62081835995</v>
      </c>
      <c r="U160" s="67"/>
    </row>
    <row r="161" spans="1:21" x14ac:dyDescent="0.25">
      <c r="A161" s="60">
        <f t="shared" si="16"/>
        <v>135</v>
      </c>
      <c r="B161" s="61">
        <f t="shared" si="17"/>
        <v>135</v>
      </c>
      <c r="C161" s="62" t="s">
        <v>45</v>
      </c>
      <c r="D161" s="62" t="s">
        <v>818</v>
      </c>
      <c r="E161" s="63">
        <f t="shared" si="15"/>
        <v>1168589.4982480002</v>
      </c>
      <c r="F161" s="64"/>
      <c r="G161" s="64">
        <v>552436.80000000005</v>
      </c>
      <c r="H161" s="64"/>
      <c r="I161" s="64">
        <v>297229.53999999998</v>
      </c>
      <c r="J161" s="64">
        <v>0</v>
      </c>
      <c r="K161" s="64"/>
      <c r="L161" s="64"/>
      <c r="M161" s="64">
        <v>0</v>
      </c>
      <c r="N161" s="64"/>
      <c r="O161" s="64">
        <v>0</v>
      </c>
      <c r="P161" s="64"/>
      <c r="Q161" s="71"/>
      <c r="R161" s="64"/>
      <c r="S161" s="65"/>
      <c r="T161" s="66">
        <v>318923.15824800002</v>
      </c>
      <c r="U161" s="67"/>
    </row>
    <row r="162" spans="1:21" x14ac:dyDescent="0.25">
      <c r="A162" s="60">
        <f t="shared" si="16"/>
        <v>136</v>
      </c>
      <c r="B162" s="61">
        <f t="shared" si="17"/>
        <v>136</v>
      </c>
      <c r="C162" s="62" t="s">
        <v>46</v>
      </c>
      <c r="D162" s="62" t="s">
        <v>1053</v>
      </c>
      <c r="E162" s="63">
        <f t="shared" si="15"/>
        <v>2714987.2110886802</v>
      </c>
      <c r="F162" s="64">
        <v>2562577.02</v>
      </c>
      <c r="G162" s="64">
        <v>0</v>
      </c>
      <c r="H162" s="64"/>
      <c r="I162" s="64">
        <v>0</v>
      </c>
      <c r="J162" s="64">
        <v>0</v>
      </c>
      <c r="K162" s="64"/>
      <c r="L162" s="64"/>
      <c r="M162" s="64">
        <v>0</v>
      </c>
      <c r="N162" s="64">
        <v>0</v>
      </c>
      <c r="O162" s="64">
        <v>0</v>
      </c>
      <c r="P162" s="64"/>
      <c r="Q162" s="64">
        <v>0</v>
      </c>
      <c r="R162" s="64"/>
      <c r="S162" s="65"/>
      <c r="T162" s="66">
        <v>152410.19108868</v>
      </c>
      <c r="U162" s="67"/>
    </row>
    <row r="163" spans="1:21" x14ac:dyDescent="0.25">
      <c r="A163" s="60">
        <f t="shared" si="16"/>
        <v>137</v>
      </c>
      <c r="B163" s="61">
        <f t="shared" si="17"/>
        <v>137</v>
      </c>
      <c r="C163" s="62" t="s">
        <v>46</v>
      </c>
      <c r="D163" s="62" t="s">
        <v>1054</v>
      </c>
      <c r="E163" s="63">
        <f t="shared" si="15"/>
        <v>49829681.060927205</v>
      </c>
      <c r="F163" s="64"/>
      <c r="G163" s="64">
        <v>8054732.7000000002</v>
      </c>
      <c r="H163" s="64">
        <v>3326392.27</v>
      </c>
      <c r="I163" s="64"/>
      <c r="J163" s="64"/>
      <c r="K163" s="64"/>
      <c r="L163" s="64"/>
      <c r="M163" s="64"/>
      <c r="N163" s="64">
        <v>6383560.5599999996</v>
      </c>
      <c r="O163" s="64">
        <v>0</v>
      </c>
      <c r="P163" s="64">
        <v>14384597.800000001</v>
      </c>
      <c r="Q163" s="64">
        <v>14838033.07</v>
      </c>
      <c r="R163" s="64"/>
      <c r="S163" s="65"/>
      <c r="T163" s="66">
        <v>2842364.6609271998</v>
      </c>
      <c r="U163" s="67"/>
    </row>
    <row r="164" spans="1:21" x14ac:dyDescent="0.25">
      <c r="A164" s="60">
        <f t="shared" si="16"/>
        <v>138</v>
      </c>
      <c r="B164" s="61">
        <f t="shared" si="17"/>
        <v>138</v>
      </c>
      <c r="C164" s="62" t="s">
        <v>46</v>
      </c>
      <c r="D164" s="62" t="s">
        <v>835</v>
      </c>
      <c r="E164" s="63">
        <f t="shared" si="15"/>
        <v>3072511.9939301223</v>
      </c>
      <c r="F164" s="64"/>
      <c r="G164" s="64"/>
      <c r="H164" s="64"/>
      <c r="I164" s="64"/>
      <c r="J164" s="64"/>
      <c r="K164" s="64"/>
      <c r="L164" s="64"/>
      <c r="M164" s="64">
        <v>2869496.64</v>
      </c>
      <c r="N164" s="64"/>
      <c r="O164" s="64"/>
      <c r="P164" s="64"/>
      <c r="Q164" s="64"/>
      <c r="R164" s="64">
        <v>104919.11907839999</v>
      </c>
      <c r="S164" s="65">
        <v>24000</v>
      </c>
      <c r="T164" s="66">
        <v>74096.234851722242</v>
      </c>
      <c r="U164" s="67"/>
    </row>
    <row r="165" spans="1:21" x14ac:dyDescent="0.25">
      <c r="A165" s="60">
        <f t="shared" si="16"/>
        <v>139</v>
      </c>
      <c r="B165" s="61">
        <f t="shared" si="17"/>
        <v>139</v>
      </c>
      <c r="C165" s="62" t="s">
        <v>46</v>
      </c>
      <c r="D165" s="62" t="s">
        <v>836</v>
      </c>
      <c r="E165" s="63">
        <f t="shared" si="15"/>
        <v>3072474.8899129103</v>
      </c>
      <c r="F165" s="64"/>
      <c r="G165" s="64"/>
      <c r="H165" s="64"/>
      <c r="I165" s="64"/>
      <c r="J165" s="64"/>
      <c r="K165" s="64"/>
      <c r="L165" s="64"/>
      <c r="M165" s="64">
        <v>2869496.65</v>
      </c>
      <c r="N165" s="64"/>
      <c r="O165" s="64"/>
      <c r="P165" s="64"/>
      <c r="Q165" s="64"/>
      <c r="R165" s="64">
        <v>104881.19345280001</v>
      </c>
      <c r="S165" s="65">
        <v>24000</v>
      </c>
      <c r="T165" s="66">
        <v>74097.046460110083</v>
      </c>
      <c r="U165" s="67"/>
    </row>
    <row r="166" spans="1:21" x14ac:dyDescent="0.25">
      <c r="A166" s="60">
        <f t="shared" si="16"/>
        <v>140</v>
      </c>
      <c r="B166" s="61">
        <f t="shared" si="17"/>
        <v>140</v>
      </c>
      <c r="C166" s="62" t="s">
        <v>46</v>
      </c>
      <c r="D166" s="62" t="s">
        <v>837</v>
      </c>
      <c r="E166" s="63">
        <f t="shared" si="15"/>
        <v>3072835.2361071859</v>
      </c>
      <c r="F166" s="64"/>
      <c r="G166" s="64"/>
      <c r="H166" s="64"/>
      <c r="I166" s="64"/>
      <c r="J166" s="64"/>
      <c r="K166" s="64"/>
      <c r="L166" s="64"/>
      <c r="M166" s="64">
        <v>2869496.64</v>
      </c>
      <c r="N166" s="64"/>
      <c r="O166" s="64"/>
      <c r="P166" s="64"/>
      <c r="Q166" s="64"/>
      <c r="R166" s="64">
        <v>105249.4299072</v>
      </c>
      <c r="S166" s="65">
        <v>24000</v>
      </c>
      <c r="T166" s="66">
        <v>74089.166199985935</v>
      </c>
      <c r="U166" s="67"/>
    </row>
    <row r="167" spans="1:21" x14ac:dyDescent="0.25">
      <c r="A167" s="60">
        <f t="shared" si="16"/>
        <v>141</v>
      </c>
      <c r="B167" s="61">
        <f t="shared" si="17"/>
        <v>141</v>
      </c>
      <c r="C167" s="62" t="s">
        <v>46</v>
      </c>
      <c r="D167" s="62" t="s">
        <v>838</v>
      </c>
      <c r="E167" s="63">
        <f t="shared" si="15"/>
        <v>6284189.3513380401</v>
      </c>
      <c r="F167" s="64">
        <v>3826027.56</v>
      </c>
      <c r="G167" s="64">
        <v>0</v>
      </c>
      <c r="H167" s="64">
        <v>0</v>
      </c>
      <c r="I167" s="64">
        <v>2180636.06</v>
      </c>
      <c r="J167" s="64">
        <v>0</v>
      </c>
      <c r="K167" s="64"/>
      <c r="L167" s="64"/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/>
      <c r="S167" s="65"/>
      <c r="T167" s="66">
        <v>277525.73133804003</v>
      </c>
      <c r="U167" s="67"/>
    </row>
    <row r="168" spans="1:21" x14ac:dyDescent="0.25">
      <c r="A168" s="60">
        <f t="shared" si="16"/>
        <v>142</v>
      </c>
      <c r="B168" s="61">
        <f t="shared" si="17"/>
        <v>142</v>
      </c>
      <c r="C168" s="62" t="s">
        <v>46</v>
      </c>
      <c r="D168" s="62" t="s">
        <v>1055</v>
      </c>
      <c r="E168" s="63">
        <f t="shared" si="15"/>
        <v>863296.86591239995</v>
      </c>
      <c r="F168" s="64">
        <v>0</v>
      </c>
      <c r="G168" s="64">
        <v>0</v>
      </c>
      <c r="H168" s="64">
        <v>782900.97</v>
      </c>
      <c r="I168" s="64"/>
      <c r="J168" s="64">
        <v>0</v>
      </c>
      <c r="K168" s="64"/>
      <c r="L168" s="64"/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/>
      <c r="S168" s="65"/>
      <c r="T168" s="66">
        <v>80395.895912399996</v>
      </c>
      <c r="U168" s="67"/>
    </row>
    <row r="169" spans="1:21" x14ac:dyDescent="0.25">
      <c r="A169" s="60">
        <f t="shared" si="16"/>
        <v>143</v>
      </c>
      <c r="B169" s="61">
        <f t="shared" si="17"/>
        <v>143</v>
      </c>
      <c r="C169" s="62" t="s">
        <v>46</v>
      </c>
      <c r="D169" s="62" t="s">
        <v>1056</v>
      </c>
      <c r="E169" s="63">
        <f t="shared" si="15"/>
        <v>11321051.292631399</v>
      </c>
      <c r="F169" s="64">
        <v>3735913.84</v>
      </c>
      <c r="G169" s="64">
        <v>627030.85</v>
      </c>
      <c r="H169" s="64">
        <v>1443652.49</v>
      </c>
      <c r="I169" s="64">
        <v>1126366.8799999999</v>
      </c>
      <c r="J169" s="64">
        <v>0</v>
      </c>
      <c r="K169" s="64"/>
      <c r="L169" s="64"/>
      <c r="M169" s="64">
        <v>0</v>
      </c>
      <c r="N169" s="64">
        <v>0</v>
      </c>
      <c r="O169" s="64">
        <v>0</v>
      </c>
      <c r="P169" s="64">
        <v>0</v>
      </c>
      <c r="Q169" s="64">
        <v>4237247.8099999996</v>
      </c>
      <c r="R169" s="64"/>
      <c r="S169" s="65"/>
      <c r="T169" s="66">
        <v>150839.4226314</v>
      </c>
      <c r="U169" s="67"/>
    </row>
    <row r="170" spans="1:21" x14ac:dyDescent="0.25">
      <c r="A170" s="60">
        <f t="shared" si="16"/>
        <v>144</v>
      </c>
      <c r="B170" s="61">
        <f t="shared" si="17"/>
        <v>144</v>
      </c>
      <c r="C170" s="62" t="s">
        <v>46</v>
      </c>
      <c r="D170" s="62" t="s">
        <v>839</v>
      </c>
      <c r="E170" s="63">
        <f t="shared" si="15"/>
        <v>681605.38</v>
      </c>
      <c r="F170" s="64">
        <v>0</v>
      </c>
      <c r="G170" s="64"/>
      <c r="H170" s="64">
        <v>681605.38</v>
      </c>
      <c r="I170" s="64">
        <v>0</v>
      </c>
      <c r="J170" s="64">
        <v>0</v>
      </c>
      <c r="K170" s="64"/>
      <c r="L170" s="64"/>
      <c r="M170" s="64">
        <v>0</v>
      </c>
      <c r="N170" s="64"/>
      <c r="O170" s="64">
        <v>0</v>
      </c>
      <c r="P170" s="64"/>
      <c r="Q170" s="64"/>
      <c r="R170" s="64"/>
      <c r="S170" s="65"/>
      <c r="T170" s="66"/>
      <c r="U170" s="67"/>
    </row>
    <row r="171" spans="1:21" x14ac:dyDescent="0.25">
      <c r="A171" s="60">
        <f t="shared" si="16"/>
        <v>145</v>
      </c>
      <c r="B171" s="61">
        <f t="shared" si="17"/>
        <v>145</v>
      </c>
      <c r="C171" s="62" t="s">
        <v>46</v>
      </c>
      <c r="D171" s="62" t="s">
        <v>413</v>
      </c>
      <c r="E171" s="63">
        <f t="shared" si="15"/>
        <v>2689617.46</v>
      </c>
      <c r="F171" s="64">
        <v>0</v>
      </c>
      <c r="G171" s="64">
        <v>0</v>
      </c>
      <c r="H171" s="64">
        <v>2689617.46</v>
      </c>
      <c r="I171" s="64">
        <v>0</v>
      </c>
      <c r="J171" s="64">
        <v>0</v>
      </c>
      <c r="K171" s="64"/>
      <c r="L171" s="64"/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/>
      <c r="S171" s="65"/>
      <c r="T171" s="66"/>
      <c r="U171" s="67"/>
    </row>
    <row r="172" spans="1:21" x14ac:dyDescent="0.25">
      <c r="A172" s="60">
        <f t="shared" si="16"/>
        <v>146</v>
      </c>
      <c r="B172" s="61">
        <f t="shared" si="17"/>
        <v>146</v>
      </c>
      <c r="C172" s="62" t="s">
        <v>46</v>
      </c>
      <c r="D172" s="62" t="s">
        <v>840</v>
      </c>
      <c r="E172" s="63">
        <f t="shared" si="15"/>
        <v>25727773.27</v>
      </c>
      <c r="F172" s="64"/>
      <c r="G172" s="64">
        <v>3182426.63</v>
      </c>
      <c r="H172" s="64"/>
      <c r="I172" s="64"/>
      <c r="J172" s="64">
        <v>0</v>
      </c>
      <c r="K172" s="64"/>
      <c r="L172" s="64"/>
      <c r="M172" s="64">
        <v>0</v>
      </c>
      <c r="N172" s="64">
        <v>0</v>
      </c>
      <c r="O172" s="64">
        <v>0</v>
      </c>
      <c r="P172" s="64">
        <v>0</v>
      </c>
      <c r="Q172" s="64">
        <v>22545346.640000001</v>
      </c>
      <c r="R172" s="64"/>
      <c r="S172" s="65"/>
      <c r="T172" s="66"/>
      <c r="U172" s="67"/>
    </row>
    <row r="173" spans="1:21" x14ac:dyDescent="0.25">
      <c r="A173" s="60">
        <f t="shared" si="16"/>
        <v>147</v>
      </c>
      <c r="B173" s="61">
        <f t="shared" si="17"/>
        <v>147</v>
      </c>
      <c r="C173" s="62" t="s">
        <v>46</v>
      </c>
      <c r="D173" s="62" t="s">
        <v>841</v>
      </c>
      <c r="E173" s="63">
        <f t="shared" si="15"/>
        <v>9962928.3052925188</v>
      </c>
      <c r="F173" s="64"/>
      <c r="G173" s="64">
        <v>7323917.46</v>
      </c>
      <c r="H173" s="64"/>
      <c r="I173" s="64">
        <v>2315022.9</v>
      </c>
      <c r="J173" s="64">
        <v>0</v>
      </c>
      <c r="K173" s="64"/>
      <c r="L173" s="64"/>
      <c r="M173" s="64">
        <v>0</v>
      </c>
      <c r="N173" s="64">
        <v>0</v>
      </c>
      <c r="O173" s="64">
        <v>0</v>
      </c>
      <c r="P173" s="64">
        <v>0</v>
      </c>
      <c r="Q173" s="64"/>
      <c r="R173" s="64"/>
      <c r="S173" s="65"/>
      <c r="T173" s="66">
        <v>323987.94529252005</v>
      </c>
      <c r="U173" s="67"/>
    </row>
    <row r="174" spans="1:21" x14ac:dyDescent="0.25">
      <c r="A174" s="60">
        <f t="shared" si="16"/>
        <v>148</v>
      </c>
      <c r="B174" s="61">
        <f t="shared" si="17"/>
        <v>148</v>
      </c>
      <c r="C174" s="62" t="s">
        <v>46</v>
      </c>
      <c r="D174" s="62" t="s">
        <v>1057</v>
      </c>
      <c r="E174" s="63">
        <f t="shared" si="15"/>
        <v>53790180.38000001</v>
      </c>
      <c r="F174" s="64">
        <v>5141989.9000000004</v>
      </c>
      <c r="G174" s="64"/>
      <c r="H174" s="64">
        <v>2714177.72</v>
      </c>
      <c r="I174" s="64"/>
      <c r="J174" s="64">
        <v>0</v>
      </c>
      <c r="K174" s="64"/>
      <c r="L174" s="64"/>
      <c r="M174" s="64">
        <v>0</v>
      </c>
      <c r="N174" s="64">
        <v>0</v>
      </c>
      <c r="O174" s="64">
        <v>0</v>
      </c>
      <c r="P174" s="64">
        <f>37030869.74+5977035.1</f>
        <v>43007904.840000004</v>
      </c>
      <c r="Q174" s="64"/>
      <c r="R174" s="64"/>
      <c r="S174" s="65"/>
      <c r="T174" s="66">
        <v>2926107.92</v>
      </c>
      <c r="U174" s="67"/>
    </row>
    <row r="175" spans="1:21" x14ac:dyDescent="0.25">
      <c r="A175" s="60">
        <f t="shared" si="16"/>
        <v>149</v>
      </c>
      <c r="B175" s="61">
        <f t="shared" si="17"/>
        <v>149</v>
      </c>
      <c r="C175" s="62" t="s">
        <v>46</v>
      </c>
      <c r="D175" s="62" t="s">
        <v>842</v>
      </c>
      <c r="E175" s="63">
        <f t="shared" si="15"/>
        <v>17169391.084560137</v>
      </c>
      <c r="F175" s="64">
        <v>3172690.78</v>
      </c>
      <c r="G175" s="64">
        <v>0</v>
      </c>
      <c r="H175" s="64">
        <v>0</v>
      </c>
      <c r="I175" s="64"/>
      <c r="J175" s="64">
        <v>0</v>
      </c>
      <c r="K175" s="64"/>
      <c r="L175" s="64"/>
      <c r="M175" s="64">
        <v>0</v>
      </c>
      <c r="N175" s="64">
        <v>5090700.49</v>
      </c>
      <c r="O175" s="64">
        <v>0</v>
      </c>
      <c r="P175" s="64">
        <v>7382703.5599999996</v>
      </c>
      <c r="Q175" s="64"/>
      <c r="R175" s="64"/>
      <c r="S175" s="65"/>
      <c r="T175" s="66">
        <v>1523296.25456014</v>
      </c>
      <c r="U175" s="67"/>
    </row>
    <row r="176" spans="1:21" x14ac:dyDescent="0.25">
      <c r="A176" s="60">
        <f t="shared" si="16"/>
        <v>150</v>
      </c>
      <c r="B176" s="61">
        <f t="shared" si="17"/>
        <v>150</v>
      </c>
      <c r="C176" s="62" t="s">
        <v>46</v>
      </c>
      <c r="D176" s="62" t="s">
        <v>1058</v>
      </c>
      <c r="E176" s="63">
        <f t="shared" si="15"/>
        <v>1156060.93417932</v>
      </c>
      <c r="F176" s="64"/>
      <c r="G176" s="64"/>
      <c r="H176" s="64"/>
      <c r="I176" s="64"/>
      <c r="J176" s="64"/>
      <c r="K176" s="64"/>
      <c r="L176" s="64"/>
      <c r="M176" s="64">
        <v>0</v>
      </c>
      <c r="N176" s="64">
        <v>0</v>
      </c>
      <c r="O176" s="64">
        <v>0</v>
      </c>
      <c r="P176" s="64"/>
      <c r="Q176" s="64">
        <v>580989.24</v>
      </c>
      <c r="R176" s="64"/>
      <c r="S176" s="65"/>
      <c r="T176" s="66">
        <v>575071.69417932001</v>
      </c>
      <c r="U176" s="67"/>
    </row>
    <row r="177" spans="1:21" x14ac:dyDescent="0.25">
      <c r="A177" s="60">
        <f t="shared" si="16"/>
        <v>151</v>
      </c>
      <c r="B177" s="61">
        <f t="shared" si="17"/>
        <v>151</v>
      </c>
      <c r="C177" s="62" t="s">
        <v>46</v>
      </c>
      <c r="D177" s="62" t="s">
        <v>843</v>
      </c>
      <c r="E177" s="63">
        <f t="shared" si="15"/>
        <v>8066054.8088218002</v>
      </c>
      <c r="F177" s="64"/>
      <c r="G177" s="64"/>
      <c r="H177" s="64">
        <v>3648621.62</v>
      </c>
      <c r="I177" s="64">
        <v>3268542.62</v>
      </c>
      <c r="J177" s="64">
        <v>0</v>
      </c>
      <c r="K177" s="64"/>
      <c r="L177" s="64"/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630230.47770000005</v>
      </c>
      <c r="S177" s="65">
        <v>85014.565300000002</v>
      </c>
      <c r="T177" s="66">
        <v>433645.52582179999</v>
      </c>
      <c r="U177" s="67"/>
    </row>
    <row r="178" spans="1:21" x14ac:dyDescent="0.25">
      <c r="A178" s="60">
        <f t="shared" si="16"/>
        <v>152</v>
      </c>
      <c r="B178" s="61">
        <f t="shared" si="17"/>
        <v>152</v>
      </c>
      <c r="C178" s="62" t="s">
        <v>58</v>
      </c>
      <c r="D178" s="62" t="s">
        <v>981</v>
      </c>
      <c r="E178" s="63">
        <f t="shared" si="15"/>
        <v>10316811.362920118</v>
      </c>
      <c r="F178" s="64"/>
      <c r="G178" s="64"/>
      <c r="H178" s="64">
        <v>0</v>
      </c>
      <c r="I178" s="64">
        <v>0</v>
      </c>
      <c r="J178" s="64">
        <v>0</v>
      </c>
      <c r="K178" s="64"/>
      <c r="L178" s="64"/>
      <c r="M178" s="64">
        <v>0</v>
      </c>
      <c r="N178" s="64">
        <v>9398785.4499999993</v>
      </c>
      <c r="O178" s="64">
        <v>0</v>
      </c>
      <c r="P178" s="64">
        <v>0</v>
      </c>
      <c r="Q178" s="64">
        <v>0</v>
      </c>
      <c r="R178" s="64"/>
      <c r="S178" s="65"/>
      <c r="T178" s="66">
        <v>918025.91292012006</v>
      </c>
      <c r="U178" s="67"/>
    </row>
    <row r="179" spans="1:21" x14ac:dyDescent="0.25">
      <c r="A179" s="60">
        <f t="shared" si="16"/>
        <v>153</v>
      </c>
      <c r="B179" s="61">
        <f t="shared" si="17"/>
        <v>153</v>
      </c>
      <c r="C179" s="62" t="s">
        <v>58</v>
      </c>
      <c r="D179" s="62" t="s">
        <v>982</v>
      </c>
      <c r="E179" s="63">
        <f t="shared" si="15"/>
        <v>10050452.1841392</v>
      </c>
      <c r="F179" s="64"/>
      <c r="G179" s="64"/>
      <c r="H179" s="64"/>
      <c r="I179" s="64">
        <v>0</v>
      </c>
      <c r="J179" s="64">
        <v>0</v>
      </c>
      <c r="K179" s="64"/>
      <c r="L179" s="64"/>
      <c r="M179" s="64">
        <v>0</v>
      </c>
      <c r="N179" s="64">
        <v>9546866.3969999999</v>
      </c>
      <c r="O179" s="64">
        <v>0</v>
      </c>
      <c r="P179" s="64">
        <v>0</v>
      </c>
      <c r="Q179" s="64">
        <v>0</v>
      </c>
      <c r="R179" s="64"/>
      <c r="S179" s="65"/>
      <c r="T179" s="66">
        <v>503585.78713919997</v>
      </c>
      <c r="U179" s="67"/>
    </row>
    <row r="180" spans="1:21" x14ac:dyDescent="0.25">
      <c r="A180" s="60">
        <f t="shared" si="16"/>
        <v>154</v>
      </c>
      <c r="B180" s="61">
        <f t="shared" si="17"/>
        <v>154</v>
      </c>
      <c r="C180" s="62" t="s">
        <v>58</v>
      </c>
      <c r="D180" s="62" t="s">
        <v>983</v>
      </c>
      <c r="E180" s="63">
        <f t="shared" si="15"/>
        <v>17029022.68593052</v>
      </c>
      <c r="F180" s="64"/>
      <c r="G180" s="64"/>
      <c r="H180" s="64">
        <v>0</v>
      </c>
      <c r="I180" s="64">
        <v>0</v>
      </c>
      <c r="J180" s="64">
        <v>0</v>
      </c>
      <c r="K180" s="64"/>
      <c r="L180" s="64"/>
      <c r="M180" s="64">
        <v>0</v>
      </c>
      <c r="N180" s="64">
        <v>16106664.949999999</v>
      </c>
      <c r="O180" s="64">
        <v>0</v>
      </c>
      <c r="P180" s="64">
        <v>0</v>
      </c>
      <c r="Q180" s="64">
        <v>0</v>
      </c>
      <c r="R180" s="64"/>
      <c r="S180" s="65"/>
      <c r="T180" s="66">
        <v>922357.73593051999</v>
      </c>
      <c r="U180" s="67"/>
    </row>
    <row r="181" spans="1:21" x14ac:dyDescent="0.25">
      <c r="A181" s="60">
        <f t="shared" si="16"/>
        <v>155</v>
      </c>
      <c r="B181" s="61">
        <f t="shared" si="17"/>
        <v>155</v>
      </c>
      <c r="C181" s="62" t="s">
        <v>73</v>
      </c>
      <c r="D181" s="62" t="s">
        <v>424</v>
      </c>
      <c r="E181" s="63">
        <f t="shared" si="15"/>
        <v>650224.41704400012</v>
      </c>
      <c r="F181" s="64">
        <v>0</v>
      </c>
      <c r="G181" s="64">
        <v>0</v>
      </c>
      <c r="H181" s="64">
        <v>0</v>
      </c>
      <c r="I181" s="64">
        <v>0</v>
      </c>
      <c r="J181" s="64">
        <v>579887.30000000005</v>
      </c>
      <c r="K181" s="64"/>
      <c r="L181" s="64"/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58462.29</v>
      </c>
      <c r="S181" s="64"/>
      <c r="T181" s="66">
        <v>11874.827044000001</v>
      </c>
      <c r="U181" s="67"/>
    </row>
    <row r="182" spans="1:21" x14ac:dyDescent="0.25">
      <c r="A182" s="60">
        <f t="shared" si="16"/>
        <v>156</v>
      </c>
      <c r="B182" s="61">
        <f t="shared" si="17"/>
        <v>156</v>
      </c>
      <c r="C182" s="62" t="s">
        <v>67</v>
      </c>
      <c r="D182" s="62" t="s">
        <v>858</v>
      </c>
      <c r="E182" s="63">
        <f t="shared" si="15"/>
        <v>3842006.1097638123</v>
      </c>
      <c r="F182" s="64"/>
      <c r="G182" s="64"/>
      <c r="H182" s="64"/>
      <c r="I182" s="64"/>
      <c r="J182" s="64"/>
      <c r="K182" s="64"/>
      <c r="L182" s="64"/>
      <c r="M182" s="64"/>
      <c r="N182" s="64">
        <v>1229943.21</v>
      </c>
      <c r="O182" s="64"/>
      <c r="P182" s="64"/>
      <c r="Q182" s="64">
        <v>2522771.4</v>
      </c>
      <c r="R182" s="64"/>
      <c r="S182" s="65"/>
      <c r="T182" s="66">
        <v>89291.499763812477</v>
      </c>
      <c r="U182" s="67"/>
    </row>
    <row r="183" spans="1:21" x14ac:dyDescent="0.25">
      <c r="A183" s="60">
        <f t="shared" si="16"/>
        <v>157</v>
      </c>
      <c r="B183" s="61">
        <f t="shared" si="17"/>
        <v>157</v>
      </c>
      <c r="C183" s="62" t="s">
        <v>67</v>
      </c>
      <c r="D183" s="62" t="s">
        <v>859</v>
      </c>
      <c r="E183" s="63">
        <f t="shared" si="15"/>
        <v>2326131.7975841798</v>
      </c>
      <c r="F183" s="64">
        <v>0</v>
      </c>
      <c r="G183" s="64">
        <v>0</v>
      </c>
      <c r="H183" s="64"/>
      <c r="I183" s="64"/>
      <c r="J183" s="64"/>
      <c r="K183" s="64"/>
      <c r="L183" s="64"/>
      <c r="M183" s="64"/>
      <c r="N183" s="64">
        <v>2093523.54</v>
      </c>
      <c r="O183" s="64"/>
      <c r="P183" s="64"/>
      <c r="Q183" s="64"/>
      <c r="R183" s="64"/>
      <c r="S183" s="65"/>
      <c r="T183" s="66">
        <v>232608.25758417978</v>
      </c>
      <c r="U183" s="67"/>
    </row>
    <row r="184" spans="1:21" x14ac:dyDescent="0.25">
      <c r="A184" s="60">
        <f t="shared" si="16"/>
        <v>158</v>
      </c>
      <c r="B184" s="61">
        <f t="shared" si="17"/>
        <v>158</v>
      </c>
      <c r="C184" s="62" t="s">
        <v>67</v>
      </c>
      <c r="D184" s="62" t="s">
        <v>1059</v>
      </c>
      <c r="E184" s="63">
        <f t="shared" si="15"/>
        <v>1546028.3117803601</v>
      </c>
      <c r="F184" s="64">
        <v>0</v>
      </c>
      <c r="G184" s="64">
        <v>0</v>
      </c>
      <c r="H184" s="64"/>
      <c r="I184" s="64"/>
      <c r="J184" s="64"/>
      <c r="K184" s="64"/>
      <c r="L184" s="64"/>
      <c r="M184" s="64"/>
      <c r="N184" s="64"/>
      <c r="O184" s="64"/>
      <c r="P184" s="64">
        <v>0</v>
      </c>
      <c r="Q184" s="64">
        <v>539462.39</v>
      </c>
      <c r="R184" s="64"/>
      <c r="S184" s="65"/>
      <c r="T184" s="66">
        <v>1006565.9217803602</v>
      </c>
      <c r="U184" s="67"/>
    </row>
    <row r="185" spans="1:21" x14ac:dyDescent="0.25">
      <c r="A185" s="60">
        <f t="shared" si="16"/>
        <v>159</v>
      </c>
      <c r="B185" s="61">
        <f t="shared" si="17"/>
        <v>159</v>
      </c>
      <c r="C185" s="62" t="s">
        <v>68</v>
      </c>
      <c r="D185" s="62" t="s">
        <v>871</v>
      </c>
      <c r="E185" s="63">
        <f t="shared" si="15"/>
        <v>14861650.108344279</v>
      </c>
      <c r="F185" s="64">
        <v>3185792.78</v>
      </c>
      <c r="G185" s="64">
        <v>811520.57999999984</v>
      </c>
      <c r="H185" s="64">
        <v>739091.37</v>
      </c>
      <c r="I185" s="64"/>
      <c r="J185" s="64">
        <v>0</v>
      </c>
      <c r="K185" s="64"/>
      <c r="L185" s="64"/>
      <c r="M185" s="64">
        <v>0</v>
      </c>
      <c r="N185" s="64">
        <v>5126751.9400000004</v>
      </c>
      <c r="O185" s="64">
        <v>0</v>
      </c>
      <c r="P185" s="64"/>
      <c r="Q185" s="64">
        <v>4617339.53</v>
      </c>
      <c r="R185" s="64"/>
      <c r="S185" s="65"/>
      <c r="T185" s="66">
        <v>381153.90834427997</v>
      </c>
      <c r="U185" s="67"/>
    </row>
    <row r="186" spans="1:21" x14ac:dyDescent="0.25">
      <c r="A186" s="60">
        <f t="shared" si="16"/>
        <v>160</v>
      </c>
      <c r="B186" s="61">
        <f t="shared" si="17"/>
        <v>160</v>
      </c>
      <c r="C186" s="62" t="s">
        <v>69</v>
      </c>
      <c r="D186" s="62" t="s">
        <v>872</v>
      </c>
      <c r="E186" s="63">
        <f t="shared" si="15"/>
        <v>4147111.6458220002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/>
      <c r="L186" s="64"/>
      <c r="M186" s="64">
        <v>0</v>
      </c>
      <c r="N186" s="64">
        <v>0</v>
      </c>
      <c r="O186" s="64">
        <v>0</v>
      </c>
      <c r="P186" s="64">
        <v>0</v>
      </c>
      <c r="Q186" s="64">
        <v>3880712.95</v>
      </c>
      <c r="R186" s="64">
        <v>63874.52</v>
      </c>
      <c r="S186" s="65">
        <v>52548.83</v>
      </c>
      <c r="T186" s="66">
        <v>149975.34582200003</v>
      </c>
      <c r="U186" s="67"/>
    </row>
    <row r="187" spans="1:21" x14ac:dyDescent="0.25">
      <c r="A187" s="60">
        <f t="shared" si="16"/>
        <v>161</v>
      </c>
      <c r="B187" s="61">
        <f t="shared" si="17"/>
        <v>161</v>
      </c>
      <c r="C187" s="62" t="s">
        <v>69</v>
      </c>
      <c r="D187" s="62" t="s">
        <v>873</v>
      </c>
      <c r="E187" s="63">
        <f t="shared" ref="E187:E214" si="18">SUBTOTAL(9,F187:T187)</f>
        <v>7160735.1737979995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/>
      <c r="L187" s="64"/>
      <c r="M187" s="64">
        <v>0</v>
      </c>
      <c r="N187" s="64">
        <v>6406790.6799999997</v>
      </c>
      <c r="O187" s="64">
        <v>0</v>
      </c>
      <c r="P187" s="64">
        <v>0</v>
      </c>
      <c r="Q187" s="64"/>
      <c r="R187" s="64">
        <v>228114.94</v>
      </c>
      <c r="S187" s="65">
        <v>61903.35</v>
      </c>
      <c r="T187" s="66">
        <v>463926.20379799994</v>
      </c>
      <c r="U187" s="67"/>
    </row>
    <row r="188" spans="1:21" x14ac:dyDescent="0.25">
      <c r="A188" s="60">
        <f t="shared" ref="A188:A214" si="19">+A187+1</f>
        <v>162</v>
      </c>
      <c r="B188" s="61">
        <f t="shared" ref="B188:B214" si="20">+B187+1</f>
        <v>162</v>
      </c>
      <c r="C188" s="62" t="s">
        <v>69</v>
      </c>
      <c r="D188" s="62" t="s">
        <v>874</v>
      </c>
      <c r="E188" s="63">
        <f t="shared" si="18"/>
        <v>5095856.215392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/>
      <c r="L188" s="64"/>
      <c r="M188" s="64">
        <v>0</v>
      </c>
      <c r="N188" s="64">
        <v>4786076.9400000004</v>
      </c>
      <c r="O188" s="64">
        <v>0</v>
      </c>
      <c r="P188" s="64">
        <v>0</v>
      </c>
      <c r="Q188" s="64">
        <v>0</v>
      </c>
      <c r="R188" s="64">
        <v>92267.42</v>
      </c>
      <c r="S188" s="65">
        <v>15260</v>
      </c>
      <c r="T188" s="66">
        <v>202251.855392</v>
      </c>
      <c r="U188" s="67"/>
    </row>
    <row r="189" spans="1:21" x14ac:dyDescent="0.25">
      <c r="A189" s="60">
        <f t="shared" si="19"/>
        <v>163</v>
      </c>
      <c r="B189" s="61">
        <f t="shared" si="20"/>
        <v>163</v>
      </c>
      <c r="C189" s="62" t="s">
        <v>79</v>
      </c>
      <c r="D189" s="62" t="s">
        <v>914</v>
      </c>
      <c r="E189" s="63">
        <f t="shared" si="18"/>
        <v>5687244.3899999997</v>
      </c>
      <c r="F189" s="64">
        <v>5464157.29</v>
      </c>
      <c r="G189" s="64">
        <v>0</v>
      </c>
      <c r="H189" s="64"/>
      <c r="I189" s="64"/>
      <c r="J189" s="64">
        <v>0</v>
      </c>
      <c r="K189" s="64"/>
      <c r="L189" s="64"/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/>
      <c r="S189" s="65"/>
      <c r="T189" s="66">
        <v>223087.1</v>
      </c>
      <c r="U189" s="67"/>
    </row>
    <row r="190" spans="1:21" x14ac:dyDescent="0.25">
      <c r="A190" s="60">
        <f t="shared" si="19"/>
        <v>164</v>
      </c>
      <c r="B190" s="61">
        <f t="shared" si="20"/>
        <v>164</v>
      </c>
      <c r="C190" s="62" t="s">
        <v>79</v>
      </c>
      <c r="D190" s="62" t="s">
        <v>915</v>
      </c>
      <c r="E190" s="63">
        <f t="shared" si="18"/>
        <v>28300277.879999999</v>
      </c>
      <c r="F190" s="64">
        <v>8079212.4000000004</v>
      </c>
      <c r="G190" s="64"/>
      <c r="H190" s="64">
        <v>3039831.6</v>
      </c>
      <c r="I190" s="64">
        <v>2344507</v>
      </c>
      <c r="J190" s="64"/>
      <c r="K190" s="64"/>
      <c r="L190" s="64"/>
      <c r="M190" s="64"/>
      <c r="N190" s="64">
        <v>14009282.4</v>
      </c>
      <c r="O190" s="64"/>
      <c r="P190" s="64"/>
      <c r="Q190" s="64"/>
      <c r="R190" s="64">
        <v>700984.03</v>
      </c>
      <c r="S190" s="65">
        <v>24000</v>
      </c>
      <c r="T190" s="66">
        <v>102460.45</v>
      </c>
      <c r="U190" s="67"/>
    </row>
    <row r="191" spans="1:21" x14ac:dyDescent="0.25">
      <c r="A191" s="60">
        <f t="shared" si="19"/>
        <v>165</v>
      </c>
      <c r="B191" s="61">
        <f t="shared" si="20"/>
        <v>165</v>
      </c>
      <c r="C191" s="62" t="s">
        <v>79</v>
      </c>
      <c r="D191" s="62" t="s">
        <v>916</v>
      </c>
      <c r="E191" s="63">
        <f t="shared" si="18"/>
        <v>19814143.776263442</v>
      </c>
      <c r="F191" s="64"/>
      <c r="G191" s="64"/>
      <c r="H191" s="64">
        <v>3153436.8</v>
      </c>
      <c r="I191" s="64">
        <v>2158646.4</v>
      </c>
      <c r="J191" s="64"/>
      <c r="K191" s="64"/>
      <c r="L191" s="64"/>
      <c r="M191" s="64"/>
      <c r="N191" s="64">
        <v>13939516.800000001</v>
      </c>
      <c r="O191" s="64"/>
      <c r="P191" s="64"/>
      <c r="Q191" s="64"/>
      <c r="R191" s="64">
        <v>495096.03</v>
      </c>
      <c r="S191" s="65">
        <v>24000</v>
      </c>
      <c r="T191" s="66">
        <v>43447.74626344</v>
      </c>
      <c r="U191" s="67"/>
    </row>
    <row r="192" spans="1:21" x14ac:dyDescent="0.25">
      <c r="A192" s="60">
        <f t="shared" si="19"/>
        <v>166</v>
      </c>
      <c r="B192" s="61">
        <f t="shared" si="20"/>
        <v>166</v>
      </c>
      <c r="C192" s="62" t="s">
        <v>79</v>
      </c>
      <c r="D192" s="62" t="s">
        <v>917</v>
      </c>
      <c r="E192" s="63">
        <f t="shared" si="18"/>
        <v>9802331.1099999994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/>
      <c r="L192" s="64"/>
      <c r="M192" s="64">
        <v>0</v>
      </c>
      <c r="N192" s="64">
        <v>9802331.1099999994</v>
      </c>
      <c r="O192" s="64">
        <v>0</v>
      </c>
      <c r="P192" s="64">
        <v>0</v>
      </c>
      <c r="Q192" s="64">
        <v>0</v>
      </c>
      <c r="R192" s="64"/>
      <c r="S192" s="65"/>
      <c r="T192" s="66"/>
      <c r="U192" s="67"/>
    </row>
    <row r="193" spans="1:21" x14ac:dyDescent="0.25">
      <c r="A193" s="60">
        <f t="shared" si="19"/>
        <v>167</v>
      </c>
      <c r="B193" s="61">
        <f t="shared" si="20"/>
        <v>167</v>
      </c>
      <c r="C193" s="62" t="s">
        <v>79</v>
      </c>
      <c r="D193" s="62" t="s">
        <v>918</v>
      </c>
      <c r="E193" s="63">
        <f t="shared" si="18"/>
        <v>16952691.299999997</v>
      </c>
      <c r="F193" s="64">
        <v>7939864.5</v>
      </c>
      <c r="G193" s="64"/>
      <c r="H193" s="64">
        <v>4681160.4000000004</v>
      </c>
      <c r="I193" s="64">
        <v>3537004.8</v>
      </c>
      <c r="J193" s="64"/>
      <c r="K193" s="64"/>
      <c r="L193" s="64"/>
      <c r="M193" s="64"/>
      <c r="N193" s="64"/>
      <c r="O193" s="64"/>
      <c r="P193" s="64"/>
      <c r="Q193" s="64"/>
      <c r="R193" s="64">
        <v>634398.13</v>
      </c>
      <c r="S193" s="65">
        <v>24000</v>
      </c>
      <c r="T193" s="66">
        <v>136263.47</v>
      </c>
      <c r="U193" s="67"/>
    </row>
    <row r="194" spans="1:21" x14ac:dyDescent="0.25">
      <c r="A194" s="60">
        <f t="shared" si="19"/>
        <v>168</v>
      </c>
      <c r="B194" s="61">
        <f t="shared" si="20"/>
        <v>168</v>
      </c>
      <c r="C194" s="62" t="s">
        <v>79</v>
      </c>
      <c r="D194" s="62" t="s">
        <v>919</v>
      </c>
      <c r="E194" s="63">
        <f t="shared" si="18"/>
        <v>11455370.009999998</v>
      </c>
      <c r="F194" s="64">
        <v>5903245.2000000002</v>
      </c>
      <c r="G194" s="64"/>
      <c r="H194" s="64">
        <v>3002210.4</v>
      </c>
      <c r="I194" s="64">
        <v>1923324</v>
      </c>
      <c r="J194" s="64"/>
      <c r="K194" s="64"/>
      <c r="L194" s="64"/>
      <c r="M194" s="64"/>
      <c r="N194" s="64"/>
      <c r="O194" s="64"/>
      <c r="P194" s="64"/>
      <c r="Q194" s="64"/>
      <c r="R194" s="64">
        <v>516618.54</v>
      </c>
      <c r="S194" s="65">
        <v>24000</v>
      </c>
      <c r="T194" s="66">
        <v>85971.87</v>
      </c>
      <c r="U194" s="67"/>
    </row>
    <row r="195" spans="1:21" x14ac:dyDescent="0.25">
      <c r="A195" s="60">
        <f t="shared" si="19"/>
        <v>169</v>
      </c>
      <c r="B195" s="61">
        <f t="shared" si="20"/>
        <v>169</v>
      </c>
      <c r="C195" s="62" t="s">
        <v>79</v>
      </c>
      <c r="D195" s="62" t="s">
        <v>920</v>
      </c>
      <c r="E195" s="63">
        <f t="shared" si="18"/>
        <v>21555121.629999999</v>
      </c>
      <c r="F195" s="64">
        <v>11356723.199999999</v>
      </c>
      <c r="G195" s="64"/>
      <c r="H195" s="64">
        <v>5611190.4000000004</v>
      </c>
      <c r="I195" s="64">
        <v>3761995.2</v>
      </c>
      <c r="J195" s="64"/>
      <c r="K195" s="64"/>
      <c r="L195" s="64"/>
      <c r="M195" s="64"/>
      <c r="N195" s="64"/>
      <c r="O195" s="64"/>
      <c r="P195" s="64"/>
      <c r="Q195" s="64"/>
      <c r="R195" s="64">
        <v>634436.54</v>
      </c>
      <c r="S195" s="65">
        <v>24000</v>
      </c>
      <c r="T195" s="66">
        <v>166776.29</v>
      </c>
      <c r="U195" s="67"/>
    </row>
    <row r="196" spans="1:21" x14ac:dyDescent="0.25">
      <c r="A196" s="60">
        <f t="shared" si="19"/>
        <v>170</v>
      </c>
      <c r="B196" s="61">
        <f t="shared" si="20"/>
        <v>170</v>
      </c>
      <c r="C196" s="62" t="s">
        <v>79</v>
      </c>
      <c r="D196" s="62" t="s">
        <v>921</v>
      </c>
      <c r="E196" s="63">
        <f t="shared" si="18"/>
        <v>21555080.010000002</v>
      </c>
      <c r="F196" s="64">
        <v>11356723.199999999</v>
      </c>
      <c r="G196" s="64"/>
      <c r="H196" s="64">
        <v>5611190.4000000004</v>
      </c>
      <c r="I196" s="64">
        <v>3761995.2</v>
      </c>
      <c r="J196" s="64"/>
      <c r="K196" s="64"/>
      <c r="L196" s="64"/>
      <c r="M196" s="64"/>
      <c r="N196" s="64"/>
      <c r="O196" s="64"/>
      <c r="P196" s="64"/>
      <c r="Q196" s="64"/>
      <c r="R196" s="64">
        <v>634394.92000000004</v>
      </c>
      <c r="S196" s="65">
        <v>24000</v>
      </c>
      <c r="T196" s="66">
        <v>166776.29</v>
      </c>
      <c r="U196" s="67"/>
    </row>
    <row r="197" spans="1:21" x14ac:dyDescent="0.25">
      <c r="A197" s="60">
        <f t="shared" si="19"/>
        <v>171</v>
      </c>
      <c r="B197" s="61">
        <f t="shared" si="20"/>
        <v>171</v>
      </c>
      <c r="C197" s="62" t="s">
        <v>79</v>
      </c>
      <c r="D197" s="62" t="s">
        <v>922</v>
      </c>
      <c r="E197" s="63">
        <f t="shared" si="18"/>
        <v>3798455.12</v>
      </c>
      <c r="F197" s="64">
        <v>3733979.02</v>
      </c>
      <c r="G197" s="64">
        <v>0</v>
      </c>
      <c r="H197" s="64">
        <v>0</v>
      </c>
      <c r="I197" s="64">
        <v>0</v>
      </c>
      <c r="J197" s="64">
        <v>0</v>
      </c>
      <c r="K197" s="64"/>
      <c r="L197" s="64"/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/>
      <c r="S197" s="65"/>
      <c r="T197" s="66">
        <v>64476.1</v>
      </c>
      <c r="U197" s="67"/>
    </row>
    <row r="198" spans="1:21" x14ac:dyDescent="0.25">
      <c r="A198" s="60">
        <f t="shared" si="19"/>
        <v>172</v>
      </c>
      <c r="B198" s="61">
        <f t="shared" si="20"/>
        <v>172</v>
      </c>
      <c r="C198" s="62" t="s">
        <v>79</v>
      </c>
      <c r="D198" s="62" t="s">
        <v>923</v>
      </c>
      <c r="E198" s="63">
        <f t="shared" si="18"/>
        <v>5080860.6100000003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/>
      <c r="L198" s="64"/>
      <c r="M198" s="64">
        <v>0</v>
      </c>
      <c r="N198" s="64">
        <v>5044368.49</v>
      </c>
      <c r="O198" s="64">
        <v>0</v>
      </c>
      <c r="P198" s="64">
        <v>0</v>
      </c>
      <c r="Q198" s="64">
        <v>0</v>
      </c>
      <c r="R198" s="64"/>
      <c r="S198" s="65"/>
      <c r="T198" s="66">
        <v>36492.120000000003</v>
      </c>
      <c r="U198" s="67"/>
    </row>
    <row r="199" spans="1:21" x14ac:dyDescent="0.25">
      <c r="A199" s="60">
        <f t="shared" si="19"/>
        <v>173</v>
      </c>
      <c r="B199" s="61">
        <f t="shared" si="20"/>
        <v>173</v>
      </c>
      <c r="C199" s="62" t="s">
        <v>62</v>
      </c>
      <c r="D199" s="62" t="s">
        <v>907</v>
      </c>
      <c r="E199" s="63">
        <f t="shared" si="18"/>
        <v>8755162.1893241201</v>
      </c>
      <c r="F199" s="64">
        <v>0</v>
      </c>
      <c r="G199" s="64">
        <v>0</v>
      </c>
      <c r="H199" s="64">
        <v>1011024.23</v>
      </c>
      <c r="I199" s="64">
        <v>0</v>
      </c>
      <c r="J199" s="64"/>
      <c r="K199" s="64"/>
      <c r="L199" s="64"/>
      <c r="M199" s="64">
        <v>0</v>
      </c>
      <c r="N199" s="64">
        <v>0</v>
      </c>
      <c r="O199" s="64">
        <v>0</v>
      </c>
      <c r="P199" s="64">
        <v>4376437.43</v>
      </c>
      <c r="Q199" s="64">
        <v>3141303.98</v>
      </c>
      <c r="R199" s="64"/>
      <c r="S199" s="65"/>
      <c r="T199" s="66">
        <v>226396.54932411999</v>
      </c>
      <c r="U199" s="67"/>
    </row>
    <row r="200" spans="1:21" x14ac:dyDescent="0.25">
      <c r="A200" s="60">
        <f t="shared" si="19"/>
        <v>174</v>
      </c>
      <c r="B200" s="61">
        <f t="shared" si="20"/>
        <v>174</v>
      </c>
      <c r="C200" s="62" t="s">
        <v>62</v>
      </c>
      <c r="D200" s="62" t="s">
        <v>908</v>
      </c>
      <c r="E200" s="63">
        <f t="shared" si="18"/>
        <v>1521216.82339412</v>
      </c>
      <c r="F200" s="64">
        <v>0</v>
      </c>
      <c r="G200" s="64">
        <v>0</v>
      </c>
      <c r="H200" s="64">
        <v>256799.44</v>
      </c>
      <c r="I200" s="64">
        <v>0</v>
      </c>
      <c r="J200" s="64">
        <v>0</v>
      </c>
      <c r="K200" s="64"/>
      <c r="L200" s="64"/>
      <c r="M200" s="64">
        <v>0</v>
      </c>
      <c r="N200" s="64">
        <v>0</v>
      </c>
      <c r="O200" s="64">
        <v>0</v>
      </c>
      <c r="P200" s="64">
        <v>0</v>
      </c>
      <c r="Q200" s="64">
        <v>1206681.83</v>
      </c>
      <c r="R200" s="64"/>
      <c r="S200" s="65"/>
      <c r="T200" s="66">
        <v>57735.553394120012</v>
      </c>
      <c r="U200" s="67"/>
    </row>
    <row r="201" spans="1:21" x14ac:dyDescent="0.25">
      <c r="A201" s="60">
        <f t="shared" si="19"/>
        <v>175</v>
      </c>
      <c r="B201" s="61">
        <f t="shared" si="20"/>
        <v>175</v>
      </c>
      <c r="C201" s="62" t="s">
        <v>63</v>
      </c>
      <c r="D201" s="62" t="s">
        <v>909</v>
      </c>
      <c r="E201" s="63">
        <f t="shared" si="18"/>
        <v>764368.75019825995</v>
      </c>
      <c r="F201" s="64">
        <v>0</v>
      </c>
      <c r="G201" s="64">
        <v>0</v>
      </c>
      <c r="H201" s="64">
        <v>664753.06999999995</v>
      </c>
      <c r="I201" s="64"/>
      <c r="J201" s="64">
        <v>0</v>
      </c>
      <c r="K201" s="64"/>
      <c r="L201" s="64"/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77193.931000000011</v>
      </c>
      <c r="S201" s="65">
        <v>7719.3931000000011</v>
      </c>
      <c r="T201" s="66">
        <v>14702.356098260001</v>
      </c>
      <c r="U201" s="67"/>
    </row>
    <row r="202" spans="1:21" x14ac:dyDescent="0.25">
      <c r="A202" s="60">
        <f t="shared" si="19"/>
        <v>176</v>
      </c>
      <c r="B202" s="61">
        <f t="shared" si="20"/>
        <v>176</v>
      </c>
      <c r="C202" s="62" t="s">
        <v>63</v>
      </c>
      <c r="D202" s="62" t="s">
        <v>466</v>
      </c>
      <c r="E202" s="63">
        <f t="shared" si="18"/>
        <v>365088.24984040001</v>
      </c>
      <c r="F202" s="64">
        <v>0</v>
      </c>
      <c r="G202" s="64">
        <v>0</v>
      </c>
      <c r="H202" s="64">
        <v>0</v>
      </c>
      <c r="I202" s="64">
        <v>346555.42</v>
      </c>
      <c r="J202" s="64"/>
      <c r="K202" s="64"/>
      <c r="L202" s="64"/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/>
      <c r="S202" s="65"/>
      <c r="T202" s="66">
        <v>18532.829840399998</v>
      </c>
      <c r="U202" s="67"/>
    </row>
    <row r="203" spans="1:21" x14ac:dyDescent="0.25">
      <c r="A203" s="60">
        <f t="shared" si="19"/>
        <v>177</v>
      </c>
      <c r="B203" s="61">
        <f t="shared" si="20"/>
        <v>177</v>
      </c>
      <c r="C203" s="62" t="s">
        <v>63</v>
      </c>
      <c r="D203" s="62" t="s">
        <v>364</v>
      </c>
      <c r="E203" s="63">
        <f t="shared" si="18"/>
        <v>8606121.4599104002</v>
      </c>
      <c r="F203" s="64">
        <v>0</v>
      </c>
      <c r="G203" s="64">
        <v>0</v>
      </c>
      <c r="H203" s="64">
        <v>0</v>
      </c>
      <c r="I203" s="64"/>
      <c r="J203" s="64">
        <v>0</v>
      </c>
      <c r="K203" s="64"/>
      <c r="L203" s="64"/>
      <c r="M203" s="64">
        <v>0</v>
      </c>
      <c r="N203" s="64">
        <v>8345806.3999999994</v>
      </c>
      <c r="O203" s="64">
        <v>0</v>
      </c>
      <c r="P203" s="64">
        <v>0</v>
      </c>
      <c r="Q203" s="64">
        <v>0</v>
      </c>
      <c r="R203" s="64"/>
      <c r="S203" s="65"/>
      <c r="T203" s="66">
        <v>260315.05991040001</v>
      </c>
      <c r="U203" s="67"/>
    </row>
    <row r="204" spans="1:21" x14ac:dyDescent="0.25">
      <c r="A204" s="60">
        <f t="shared" si="19"/>
        <v>178</v>
      </c>
      <c r="B204" s="61">
        <f t="shared" si="20"/>
        <v>178</v>
      </c>
      <c r="C204" s="62" t="s">
        <v>63</v>
      </c>
      <c r="D204" s="62" t="s">
        <v>910</v>
      </c>
      <c r="E204" s="63">
        <f t="shared" si="18"/>
        <v>481793.98029292002</v>
      </c>
      <c r="F204" s="64"/>
      <c r="G204" s="64">
        <v>0</v>
      </c>
      <c r="H204" s="64"/>
      <c r="I204" s="64">
        <v>363946.04</v>
      </c>
      <c r="J204" s="64">
        <v>0</v>
      </c>
      <c r="K204" s="64"/>
      <c r="L204" s="64"/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/>
      <c r="S204" s="65"/>
      <c r="T204" s="66">
        <v>117847.94029292003</v>
      </c>
      <c r="U204" s="67"/>
    </row>
    <row r="205" spans="1:21" x14ac:dyDescent="0.25">
      <c r="A205" s="60">
        <f t="shared" si="19"/>
        <v>179</v>
      </c>
      <c r="B205" s="61">
        <f t="shared" si="20"/>
        <v>179</v>
      </c>
      <c r="C205" s="62" t="s">
        <v>63</v>
      </c>
      <c r="D205" s="62" t="s">
        <v>468</v>
      </c>
      <c r="E205" s="63">
        <f t="shared" si="18"/>
        <v>1379849.7611506002</v>
      </c>
      <c r="F205" s="64">
        <v>0</v>
      </c>
      <c r="G205" s="64">
        <v>0</v>
      </c>
      <c r="H205" s="64">
        <v>0</v>
      </c>
      <c r="I205" s="64">
        <v>1321350.8500000001</v>
      </c>
      <c r="J205" s="64"/>
      <c r="K205" s="64"/>
      <c r="L205" s="64"/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/>
      <c r="S205" s="65"/>
      <c r="T205" s="66">
        <v>58498.911150600004</v>
      </c>
      <c r="U205" s="67"/>
    </row>
    <row r="206" spans="1:21" x14ac:dyDescent="0.25">
      <c r="A206" s="60">
        <f t="shared" si="19"/>
        <v>180</v>
      </c>
      <c r="B206" s="61">
        <f t="shared" si="20"/>
        <v>180</v>
      </c>
      <c r="C206" s="62" t="s">
        <v>63</v>
      </c>
      <c r="D206" s="62" t="s">
        <v>365</v>
      </c>
      <c r="E206" s="63">
        <f t="shared" si="18"/>
        <v>3552408.6974952403</v>
      </c>
      <c r="F206" s="64"/>
      <c r="G206" s="64">
        <v>0</v>
      </c>
      <c r="H206" s="64">
        <v>0</v>
      </c>
      <c r="I206" s="64">
        <v>0</v>
      </c>
      <c r="J206" s="64"/>
      <c r="K206" s="64"/>
      <c r="L206" s="64"/>
      <c r="M206" s="64">
        <v>0</v>
      </c>
      <c r="N206" s="64">
        <v>0</v>
      </c>
      <c r="O206" s="64">
        <v>0</v>
      </c>
      <c r="P206" s="64"/>
      <c r="Q206" s="64">
        <v>3253286.45</v>
      </c>
      <c r="R206" s="64"/>
      <c r="S206" s="65"/>
      <c r="T206" s="66">
        <v>299122.24749524001</v>
      </c>
      <c r="U206" s="67"/>
    </row>
    <row r="207" spans="1:21" x14ac:dyDescent="0.25">
      <c r="A207" s="60">
        <f t="shared" si="19"/>
        <v>181</v>
      </c>
      <c r="B207" s="61">
        <f t="shared" si="20"/>
        <v>181</v>
      </c>
      <c r="C207" s="62" t="s">
        <v>63</v>
      </c>
      <c r="D207" s="62" t="s">
        <v>897</v>
      </c>
      <c r="E207" s="63">
        <f t="shared" si="18"/>
        <v>1178970.48751072</v>
      </c>
      <c r="F207" s="64"/>
      <c r="G207" s="64"/>
      <c r="H207" s="64">
        <v>667653.5</v>
      </c>
      <c r="I207" s="64">
        <v>491754.09</v>
      </c>
      <c r="J207" s="64"/>
      <c r="K207" s="64"/>
      <c r="L207" s="64"/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/>
      <c r="S207" s="65"/>
      <c r="T207" s="66">
        <v>19562.897510720002</v>
      </c>
      <c r="U207" s="67"/>
    </row>
    <row r="208" spans="1:21" x14ac:dyDescent="0.25">
      <c r="A208" s="60">
        <f t="shared" si="19"/>
        <v>182</v>
      </c>
      <c r="B208" s="61">
        <f t="shared" si="20"/>
        <v>182</v>
      </c>
      <c r="C208" s="62" t="s">
        <v>63</v>
      </c>
      <c r="D208" s="62" t="s">
        <v>911</v>
      </c>
      <c r="E208" s="63">
        <f t="shared" si="18"/>
        <v>2049515.5313292001</v>
      </c>
      <c r="F208" s="64">
        <v>0</v>
      </c>
      <c r="G208" s="64">
        <v>0</v>
      </c>
      <c r="H208" s="64"/>
      <c r="I208" s="64">
        <v>1990765.32</v>
      </c>
      <c r="J208" s="64"/>
      <c r="K208" s="64"/>
      <c r="L208" s="64"/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/>
      <c r="S208" s="65"/>
      <c r="T208" s="66">
        <v>58750.211329199999</v>
      </c>
      <c r="U208" s="67"/>
    </row>
    <row r="209" spans="1:21" x14ac:dyDescent="0.25">
      <c r="A209" s="60">
        <f t="shared" si="19"/>
        <v>183</v>
      </c>
      <c r="B209" s="61">
        <f t="shared" si="20"/>
        <v>183</v>
      </c>
      <c r="C209" s="62" t="s">
        <v>63</v>
      </c>
      <c r="D209" s="62" t="s">
        <v>367</v>
      </c>
      <c r="E209" s="63">
        <f t="shared" si="18"/>
        <v>6265968.0113439998</v>
      </c>
      <c r="F209" s="64">
        <v>0</v>
      </c>
      <c r="G209" s="64">
        <v>0</v>
      </c>
      <c r="H209" s="64">
        <v>0</v>
      </c>
      <c r="I209" s="64">
        <v>0</v>
      </c>
      <c r="J209" s="64"/>
      <c r="K209" s="64"/>
      <c r="L209" s="64"/>
      <c r="M209" s="64">
        <v>0</v>
      </c>
      <c r="N209" s="64">
        <v>0</v>
      </c>
      <c r="O209" s="64">
        <v>0</v>
      </c>
      <c r="P209" s="64">
        <v>6113601.8799999999</v>
      </c>
      <c r="Q209" s="64"/>
      <c r="R209" s="64"/>
      <c r="S209" s="65"/>
      <c r="T209" s="66">
        <v>152366.13134399999</v>
      </c>
      <c r="U209" s="67"/>
    </row>
    <row r="210" spans="1:21" x14ac:dyDescent="0.25">
      <c r="A210" s="60">
        <f t="shared" si="19"/>
        <v>184</v>
      </c>
      <c r="B210" s="61">
        <f t="shared" si="20"/>
        <v>184</v>
      </c>
      <c r="C210" s="62" t="s">
        <v>63</v>
      </c>
      <c r="D210" s="62" t="s">
        <v>368</v>
      </c>
      <c r="E210" s="63">
        <f t="shared" si="18"/>
        <v>18257138.112024002</v>
      </c>
      <c r="F210" s="64">
        <v>4878537.09</v>
      </c>
      <c r="G210" s="64">
        <v>0</v>
      </c>
      <c r="H210" s="64">
        <v>0</v>
      </c>
      <c r="I210" s="64">
        <v>0</v>
      </c>
      <c r="J210" s="64"/>
      <c r="K210" s="64"/>
      <c r="L210" s="64"/>
      <c r="M210" s="64">
        <v>0</v>
      </c>
      <c r="N210" s="64">
        <v>0</v>
      </c>
      <c r="O210" s="64">
        <v>0</v>
      </c>
      <c r="P210" s="64">
        <v>5994057.4199999999</v>
      </c>
      <c r="Q210" s="64">
        <v>7172099.8799999999</v>
      </c>
      <c r="R210" s="64"/>
      <c r="S210" s="65"/>
      <c r="T210" s="66">
        <v>212443.72202400002</v>
      </c>
      <c r="U210" s="67"/>
    </row>
    <row r="211" spans="1:21" x14ac:dyDescent="0.25">
      <c r="A211" s="60">
        <f t="shared" si="19"/>
        <v>185</v>
      </c>
      <c r="B211" s="61">
        <f t="shared" si="20"/>
        <v>185</v>
      </c>
      <c r="C211" s="62" t="s">
        <v>63</v>
      </c>
      <c r="D211" s="62" t="s">
        <v>912</v>
      </c>
      <c r="E211" s="63">
        <f t="shared" si="18"/>
        <v>1244942.4749406199</v>
      </c>
      <c r="F211" s="64">
        <v>0</v>
      </c>
      <c r="G211" s="64">
        <v>0</v>
      </c>
      <c r="H211" s="64">
        <v>1207654.75</v>
      </c>
      <c r="I211" s="64">
        <v>0</v>
      </c>
      <c r="J211" s="64">
        <v>0</v>
      </c>
      <c r="K211" s="64"/>
      <c r="L211" s="64"/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/>
      <c r="S211" s="65"/>
      <c r="T211" s="66">
        <v>37287.724940620006</v>
      </c>
      <c r="U211" s="67"/>
    </row>
    <row r="212" spans="1:21" x14ac:dyDescent="0.25">
      <c r="A212" s="60">
        <f t="shared" si="19"/>
        <v>186</v>
      </c>
      <c r="B212" s="61">
        <f t="shared" si="20"/>
        <v>186</v>
      </c>
      <c r="C212" s="62" t="s">
        <v>52</v>
      </c>
      <c r="D212" s="62" t="s">
        <v>1161</v>
      </c>
      <c r="E212" s="63">
        <f t="shared" si="18"/>
        <v>4254086.16</v>
      </c>
      <c r="F212" s="64"/>
      <c r="G212" s="64"/>
      <c r="H212" s="64"/>
      <c r="I212" s="64"/>
      <c r="J212" s="64"/>
      <c r="K212" s="64"/>
      <c r="L212" s="64"/>
      <c r="M212" s="64"/>
      <c r="N212" s="64">
        <v>4254086.16</v>
      </c>
      <c r="O212" s="64"/>
      <c r="P212" s="64"/>
      <c r="Q212" s="64"/>
      <c r="R212" s="64"/>
      <c r="S212" s="64"/>
      <c r="T212" s="64"/>
      <c r="U212" s="67"/>
    </row>
    <row r="213" spans="1:21" x14ac:dyDescent="0.25">
      <c r="A213" s="60">
        <f t="shared" si="19"/>
        <v>187</v>
      </c>
      <c r="B213" s="61">
        <f t="shared" si="20"/>
        <v>187</v>
      </c>
      <c r="C213" s="71" t="s">
        <v>962</v>
      </c>
      <c r="D213" s="62" t="s">
        <v>924</v>
      </c>
      <c r="E213" s="63">
        <f t="shared" si="18"/>
        <v>566057.97</v>
      </c>
      <c r="F213" s="64"/>
      <c r="G213" s="64"/>
      <c r="H213" s="64"/>
      <c r="I213" s="64"/>
      <c r="J213" s="64"/>
      <c r="K213" s="64"/>
      <c r="L213" s="64"/>
      <c r="M213" s="64"/>
      <c r="N213" s="64">
        <v>194953.44</v>
      </c>
      <c r="O213" s="64"/>
      <c r="P213" s="64">
        <v>371104.53</v>
      </c>
      <c r="Q213" s="64"/>
      <c r="R213" s="64"/>
      <c r="S213" s="64"/>
      <c r="T213" s="64"/>
      <c r="U213" s="67"/>
    </row>
    <row r="214" spans="1:21" x14ac:dyDescent="0.25">
      <c r="A214" s="76">
        <f t="shared" si="19"/>
        <v>188</v>
      </c>
      <c r="B214" s="77">
        <f t="shared" si="20"/>
        <v>188</v>
      </c>
      <c r="C214" s="71" t="s">
        <v>962</v>
      </c>
      <c r="D214" s="78" t="s">
        <v>925</v>
      </c>
      <c r="E214" s="79">
        <f t="shared" si="18"/>
        <v>10770762.300000001</v>
      </c>
      <c r="F214" s="80"/>
      <c r="G214" s="80"/>
      <c r="H214" s="80"/>
      <c r="I214" s="80"/>
      <c r="J214" s="80"/>
      <c r="K214" s="80"/>
      <c r="L214" s="80"/>
      <c r="M214" s="80"/>
      <c r="N214" s="80">
        <v>5195058.41</v>
      </c>
      <c r="O214" s="80"/>
      <c r="P214" s="80">
        <v>5575703.8899999997</v>
      </c>
      <c r="Q214" s="80"/>
      <c r="R214" s="80"/>
      <c r="S214" s="80"/>
      <c r="T214" s="80"/>
      <c r="U214" s="67"/>
    </row>
    <row r="215" spans="1:21" s="87" customFormat="1" x14ac:dyDescent="0.25">
      <c r="A215" s="81"/>
      <c r="B215" s="81"/>
      <c r="C215" s="82"/>
      <c r="D215" s="83">
        <v>2023</v>
      </c>
      <c r="E215" s="84">
        <f>SUM(F215:T215)</f>
        <v>3761164931.5329933</v>
      </c>
      <c r="F215" s="85">
        <f>SUM(F216:F485)</f>
        <v>691298323.2514478</v>
      </c>
      <c r="G215" s="85">
        <f t="shared" ref="G215:T215" si="21">SUM(G216:G485)</f>
        <v>218632932.21792299</v>
      </c>
      <c r="H215" s="85">
        <f t="shared" si="21"/>
        <v>269047071.30217028</v>
      </c>
      <c r="I215" s="85">
        <f t="shared" si="21"/>
        <v>161037382.87903377</v>
      </c>
      <c r="J215" s="85">
        <f t="shared" si="21"/>
        <v>29619309.952083182</v>
      </c>
      <c r="K215" s="85">
        <f t="shared" si="21"/>
        <v>0</v>
      </c>
      <c r="L215" s="85">
        <f t="shared" si="21"/>
        <v>24421298.348412089</v>
      </c>
      <c r="M215" s="85">
        <f t="shared" si="21"/>
        <v>55387763.957508564</v>
      </c>
      <c r="N215" s="85">
        <f t="shared" si="21"/>
        <v>700896594.12083304</v>
      </c>
      <c r="O215" s="85">
        <f t="shared" si="21"/>
        <v>52157490.767235495</v>
      </c>
      <c r="P215" s="85">
        <f t="shared" si="21"/>
        <v>850266076.63439667</v>
      </c>
      <c r="Q215" s="85">
        <f t="shared" si="21"/>
        <v>507785887.08888865</v>
      </c>
      <c r="R215" s="85">
        <f t="shared" si="21"/>
        <v>79279649.892830923</v>
      </c>
      <c r="S215" s="85">
        <f t="shared" si="21"/>
        <v>7573041.7840896556</v>
      </c>
      <c r="T215" s="85">
        <f t="shared" si="21"/>
        <v>113762109.33614084</v>
      </c>
      <c r="U215" s="86"/>
    </row>
    <row r="216" spans="1:21" x14ac:dyDescent="0.25">
      <c r="A216" s="60">
        <f>+A214+1</f>
        <v>189</v>
      </c>
      <c r="B216" s="61">
        <v>1</v>
      </c>
      <c r="C216" s="62" t="s">
        <v>49</v>
      </c>
      <c r="D216" s="62" t="s">
        <v>1061</v>
      </c>
      <c r="E216" s="88">
        <f>SUBTOTAL(9,F216:T216)</f>
        <v>5500477.4840838267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/>
      <c r="L216" s="64"/>
      <c r="M216" s="64">
        <v>0</v>
      </c>
      <c r="N216" s="64"/>
      <c r="O216" s="64">
        <v>5403128.5</v>
      </c>
      <c r="P216" s="64">
        <v>0</v>
      </c>
      <c r="Q216" s="64">
        <v>0</v>
      </c>
      <c r="R216" s="64"/>
      <c r="S216" s="65"/>
      <c r="T216" s="66">
        <v>97348.984083826697</v>
      </c>
      <c r="U216" s="67"/>
    </row>
    <row r="217" spans="1:21" x14ac:dyDescent="0.25">
      <c r="A217" s="60">
        <f>+A216+1</f>
        <v>190</v>
      </c>
      <c r="B217" s="61">
        <f>+B216+1</f>
        <v>2</v>
      </c>
      <c r="C217" s="62" t="s">
        <v>49</v>
      </c>
      <c r="D217" s="62" t="s">
        <v>1062</v>
      </c>
      <c r="E217" s="88">
        <f>SUBTOTAL(9,F217:T217)</f>
        <v>6440513.7959507219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/>
      <c r="L217" s="64"/>
      <c r="M217" s="64">
        <v>0</v>
      </c>
      <c r="N217" s="64">
        <v>0</v>
      </c>
      <c r="O217" s="64">
        <v>5976346.29</v>
      </c>
      <c r="P217" s="64"/>
      <c r="Q217" s="64">
        <v>0</v>
      </c>
      <c r="R217" s="64"/>
      <c r="S217" s="65"/>
      <c r="T217" s="66">
        <v>464167.50595072238</v>
      </c>
      <c r="U217" s="67"/>
    </row>
    <row r="218" spans="1:21" x14ac:dyDescent="0.25">
      <c r="A218" s="60">
        <f t="shared" ref="A218:A281" si="22">+A217+1</f>
        <v>191</v>
      </c>
      <c r="B218" s="61">
        <f t="shared" ref="B218:B281" si="23">+B217+1</f>
        <v>3</v>
      </c>
      <c r="C218" s="62" t="s">
        <v>49</v>
      </c>
      <c r="D218" s="62" t="s">
        <v>672</v>
      </c>
      <c r="E218" s="63">
        <f t="shared" ref="E218:E275" si="24">SUBTOTAL(9,F218:T218)</f>
        <v>11855689.549999999</v>
      </c>
      <c r="F218" s="64"/>
      <c r="G218" s="64"/>
      <c r="H218" s="64">
        <v>647925.87</v>
      </c>
      <c r="I218" s="64"/>
      <c r="J218" s="64">
        <v>0</v>
      </c>
      <c r="K218" s="64"/>
      <c r="L218" s="64"/>
      <c r="M218" s="64">
        <v>0</v>
      </c>
      <c r="N218" s="64">
        <v>4272787.71</v>
      </c>
      <c r="O218" s="64"/>
      <c r="P218" s="64">
        <v>5939807.0499999998</v>
      </c>
      <c r="Q218" s="64"/>
      <c r="R218" s="64"/>
      <c r="S218" s="65"/>
      <c r="T218" s="65">
        <v>995168.92</v>
      </c>
      <c r="U218" s="67"/>
    </row>
    <row r="219" spans="1:21" x14ac:dyDescent="0.25">
      <c r="A219" s="60">
        <f t="shared" si="22"/>
        <v>192</v>
      </c>
      <c r="B219" s="61">
        <f t="shared" si="23"/>
        <v>4</v>
      </c>
      <c r="C219" s="62" t="s">
        <v>50</v>
      </c>
      <c r="D219" s="62" t="s">
        <v>615</v>
      </c>
      <c r="E219" s="63">
        <f t="shared" si="24"/>
        <v>5021854.2657324746</v>
      </c>
      <c r="F219" s="64"/>
      <c r="G219" s="64"/>
      <c r="H219" s="64">
        <v>3532583.6821182813</v>
      </c>
      <c r="I219" s="64">
        <v>0</v>
      </c>
      <c r="J219" s="64">
        <v>0</v>
      </c>
      <c r="K219" s="64"/>
      <c r="L219" s="64">
        <v>0</v>
      </c>
      <c r="M219" s="64">
        <v>0</v>
      </c>
      <c r="N219" s="64">
        <v>0</v>
      </c>
      <c r="O219" s="64">
        <v>0</v>
      </c>
      <c r="P219" s="64"/>
      <c r="Q219" s="64"/>
      <c r="R219" s="64">
        <v>840138.45000000007</v>
      </c>
      <c r="S219" s="65"/>
      <c r="T219" s="66">
        <v>649132.13361419411</v>
      </c>
      <c r="U219" s="67"/>
    </row>
    <row r="220" spans="1:21" x14ac:dyDescent="0.25">
      <c r="A220" s="60">
        <f t="shared" si="22"/>
        <v>193</v>
      </c>
      <c r="B220" s="61">
        <f t="shared" si="23"/>
        <v>5</v>
      </c>
      <c r="C220" s="62" t="s">
        <v>50</v>
      </c>
      <c r="D220" s="62" t="s">
        <v>616</v>
      </c>
      <c r="E220" s="63">
        <f t="shared" si="24"/>
        <v>24300633.28718384</v>
      </c>
      <c r="F220" s="64"/>
      <c r="G220" s="64"/>
      <c r="H220" s="64">
        <v>3525921.0012484104</v>
      </c>
      <c r="I220" s="64">
        <v>0</v>
      </c>
      <c r="J220" s="64">
        <v>0</v>
      </c>
      <c r="K220" s="64"/>
      <c r="L220" s="64">
        <v>0</v>
      </c>
      <c r="M220" s="64">
        <v>0</v>
      </c>
      <c r="N220" s="64">
        <v>0</v>
      </c>
      <c r="O220" s="64">
        <v>0</v>
      </c>
      <c r="P220" s="64">
        <v>19328224.847108763</v>
      </c>
      <c r="Q220" s="64"/>
      <c r="R220" s="64">
        <v>852470.5</v>
      </c>
      <c r="S220" s="65"/>
      <c r="T220" s="66">
        <v>594016.9388266654</v>
      </c>
      <c r="U220" s="67"/>
    </row>
    <row r="221" spans="1:21" x14ac:dyDescent="0.25">
      <c r="A221" s="60">
        <f t="shared" si="22"/>
        <v>194</v>
      </c>
      <c r="B221" s="61">
        <f t="shared" si="23"/>
        <v>6</v>
      </c>
      <c r="C221" s="62" t="s">
        <v>50</v>
      </c>
      <c r="D221" s="62" t="s">
        <v>617</v>
      </c>
      <c r="E221" s="63">
        <f t="shared" si="24"/>
        <v>16782576.263110645</v>
      </c>
      <c r="F221" s="64"/>
      <c r="G221" s="71"/>
      <c r="H221" s="89">
        <v>2589897.61</v>
      </c>
      <c r="I221" s="71">
        <v>0</v>
      </c>
      <c r="J221" s="64">
        <v>0</v>
      </c>
      <c r="K221" s="64"/>
      <c r="L221" s="64">
        <v>0</v>
      </c>
      <c r="M221" s="64">
        <v>0</v>
      </c>
      <c r="N221" s="71">
        <v>0</v>
      </c>
      <c r="O221" s="71">
        <v>0</v>
      </c>
      <c r="P221" s="64">
        <v>13159130.27705455</v>
      </c>
      <c r="Q221" s="64"/>
      <c r="R221" s="64">
        <v>693290.04</v>
      </c>
      <c r="S221" s="65"/>
      <c r="T221" s="66">
        <v>340258.33605609403</v>
      </c>
      <c r="U221" s="67"/>
    </row>
    <row r="222" spans="1:21" x14ac:dyDescent="0.25">
      <c r="A222" s="60">
        <f t="shared" si="22"/>
        <v>195</v>
      </c>
      <c r="B222" s="61">
        <f t="shared" si="23"/>
        <v>7</v>
      </c>
      <c r="C222" s="62" t="s">
        <v>51</v>
      </c>
      <c r="D222" s="62" t="s">
        <v>626</v>
      </c>
      <c r="E222" s="88">
        <f>SUBTOTAL(9,F222:T222)</f>
        <v>25831934.400962178</v>
      </c>
      <c r="F222" s="64">
        <v>12131968.210906873</v>
      </c>
      <c r="G222" s="64">
        <v>6473660.0199999996</v>
      </c>
      <c r="H222" s="64">
        <v>3569164.9191403314</v>
      </c>
      <c r="I222" s="64">
        <v>2732975.3</v>
      </c>
      <c r="J222" s="64">
        <v>0</v>
      </c>
      <c r="K222" s="64"/>
      <c r="L222" s="64">
        <v>391844.91901863407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/>
      <c r="S222" s="65"/>
      <c r="T222" s="66">
        <v>532321.03189633763</v>
      </c>
      <c r="U222" s="67"/>
    </row>
    <row r="223" spans="1:21" x14ac:dyDescent="0.25">
      <c r="A223" s="60">
        <f t="shared" si="22"/>
        <v>196</v>
      </c>
      <c r="B223" s="61">
        <f t="shared" si="23"/>
        <v>8</v>
      </c>
      <c r="C223" s="62" t="s">
        <v>51</v>
      </c>
      <c r="D223" s="62" t="s">
        <v>623</v>
      </c>
      <c r="E223" s="88">
        <f>SUBTOTAL(9,F223:T223)</f>
        <v>792318.11290502013</v>
      </c>
      <c r="F223" s="64">
        <v>0</v>
      </c>
      <c r="G223" s="64">
        <v>0</v>
      </c>
      <c r="H223" s="64">
        <v>766834.98031195218</v>
      </c>
      <c r="I223" s="64"/>
      <c r="J223" s="64">
        <v>0</v>
      </c>
      <c r="K223" s="64"/>
      <c r="L223" s="64"/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/>
      <c r="S223" s="65"/>
      <c r="T223" s="66">
        <v>25483.132593067974</v>
      </c>
      <c r="U223" s="67"/>
    </row>
    <row r="224" spans="1:21" x14ac:dyDescent="0.25">
      <c r="A224" s="60">
        <f t="shared" si="22"/>
        <v>197</v>
      </c>
      <c r="B224" s="61">
        <f t="shared" si="23"/>
        <v>9</v>
      </c>
      <c r="C224" s="62" t="s">
        <v>51</v>
      </c>
      <c r="D224" s="62" t="s">
        <v>627</v>
      </c>
      <c r="E224" s="88">
        <f t="shared" si="24"/>
        <v>16247733.694227014</v>
      </c>
      <c r="F224" s="64">
        <v>8669706.261442598</v>
      </c>
      <c r="G224" s="64">
        <v>4584326.74</v>
      </c>
      <c r="H224" s="64"/>
      <c r="I224" s="64">
        <v>2323772.17</v>
      </c>
      <c r="J224" s="64">
        <v>0</v>
      </c>
      <c r="K224" s="64"/>
      <c r="L224" s="64">
        <v>280018.89626418491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/>
      <c r="S224" s="65"/>
      <c r="T224" s="66">
        <v>389909.62652023067</v>
      </c>
      <c r="U224" s="67"/>
    </row>
    <row r="225" spans="1:21" x14ac:dyDescent="0.25">
      <c r="A225" s="60">
        <f t="shared" si="22"/>
        <v>198</v>
      </c>
      <c r="B225" s="61">
        <f t="shared" si="23"/>
        <v>10</v>
      </c>
      <c r="C225" s="62" t="s">
        <v>51</v>
      </c>
      <c r="D225" s="62" t="s">
        <v>625</v>
      </c>
      <c r="E225" s="63">
        <f t="shared" si="24"/>
        <v>17681801.270366538</v>
      </c>
      <c r="F225" s="64">
        <v>0</v>
      </c>
      <c r="G225" s="64">
        <v>0</v>
      </c>
      <c r="H225" s="64">
        <v>3130340.41</v>
      </c>
      <c r="I225" s="64">
        <v>2723483.78</v>
      </c>
      <c r="J225" s="64">
        <v>0</v>
      </c>
      <c r="K225" s="64"/>
      <c r="L225" s="64"/>
      <c r="M225" s="64">
        <v>0</v>
      </c>
      <c r="N225" s="64">
        <v>0</v>
      </c>
      <c r="O225" s="64">
        <v>6881364.6500000004</v>
      </c>
      <c r="P225" s="64">
        <v>4596356.03</v>
      </c>
      <c r="Q225" s="64"/>
      <c r="R225" s="64"/>
      <c r="S225" s="65"/>
      <c r="T225" s="66">
        <f>179832.138797376+170424.261569162</f>
        <v>350256.40036653797</v>
      </c>
      <c r="U225" s="67"/>
    </row>
    <row r="226" spans="1:21" x14ac:dyDescent="0.25">
      <c r="A226" s="60">
        <f t="shared" si="22"/>
        <v>199</v>
      </c>
      <c r="B226" s="61">
        <f t="shared" si="23"/>
        <v>11</v>
      </c>
      <c r="C226" s="62" t="s">
        <v>961</v>
      </c>
      <c r="D226" s="62" t="s">
        <v>929</v>
      </c>
      <c r="E226" s="63">
        <f t="shared" si="24"/>
        <v>19011954.027682688</v>
      </c>
      <c r="F226" s="64"/>
      <c r="G226" s="64"/>
      <c r="H226" s="64"/>
      <c r="I226" s="64"/>
      <c r="J226" s="64"/>
      <c r="K226" s="64"/>
      <c r="L226" s="64"/>
      <c r="M226" s="64"/>
      <c r="N226" s="64">
        <v>15127234.201704457</v>
      </c>
      <c r="O226" s="64"/>
      <c r="P226" s="64"/>
      <c r="Q226" s="64">
        <v>0</v>
      </c>
      <c r="R226" s="64">
        <v>2692288.6746999999</v>
      </c>
      <c r="S226" s="65">
        <v>400835.67271109129</v>
      </c>
      <c r="T226" s="66">
        <v>791595.47856713797</v>
      </c>
      <c r="U226" s="67"/>
    </row>
    <row r="227" spans="1:21" x14ac:dyDescent="0.25">
      <c r="A227" s="60">
        <f t="shared" si="22"/>
        <v>200</v>
      </c>
      <c r="B227" s="61">
        <f t="shared" si="23"/>
        <v>12</v>
      </c>
      <c r="C227" s="62" t="s">
        <v>961</v>
      </c>
      <c r="D227" s="62" t="s">
        <v>930</v>
      </c>
      <c r="E227" s="63">
        <f t="shared" si="24"/>
        <v>16512713.297707859</v>
      </c>
      <c r="F227" s="64"/>
      <c r="G227" s="64"/>
      <c r="H227" s="64"/>
      <c r="I227" s="64"/>
      <c r="J227" s="64"/>
      <c r="K227" s="64"/>
      <c r="L227" s="64"/>
      <c r="M227" s="64"/>
      <c r="N227" s="64">
        <v>13110233.174834039</v>
      </c>
      <c r="O227" s="64"/>
      <c r="P227" s="64"/>
      <c r="Q227" s="64">
        <v>0</v>
      </c>
      <c r="R227" s="64">
        <v>2367423.2642999999</v>
      </c>
      <c r="S227" s="65">
        <v>348143.3067497728</v>
      </c>
      <c r="T227" s="66">
        <v>686913.55182404874</v>
      </c>
      <c r="U227" s="67"/>
    </row>
    <row r="228" spans="1:21" x14ac:dyDescent="0.25">
      <c r="A228" s="60">
        <f t="shared" si="22"/>
        <v>201</v>
      </c>
      <c r="B228" s="61">
        <f t="shared" si="23"/>
        <v>13</v>
      </c>
      <c r="C228" s="62" t="s">
        <v>82</v>
      </c>
      <c r="D228" s="62" t="s">
        <v>1063</v>
      </c>
      <c r="E228" s="88">
        <f t="shared" ref="E228:E233" si="25">SUBTOTAL(9,F228:T228)</f>
        <v>16349155.862697219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/>
      <c r="L228" s="64"/>
      <c r="M228" s="64">
        <v>0</v>
      </c>
      <c r="N228" s="64">
        <v>0</v>
      </c>
      <c r="O228" s="64">
        <v>15999283.927235499</v>
      </c>
      <c r="P228" s="64">
        <v>0</v>
      </c>
      <c r="Q228" s="64">
        <v>0</v>
      </c>
      <c r="R228" s="64"/>
      <c r="S228" s="65"/>
      <c r="T228" s="66">
        <v>349871.93546172051</v>
      </c>
      <c r="U228" s="67"/>
    </row>
    <row r="229" spans="1:21" x14ac:dyDescent="0.25">
      <c r="A229" s="60">
        <f t="shared" si="22"/>
        <v>202</v>
      </c>
      <c r="B229" s="61">
        <f t="shared" si="23"/>
        <v>14</v>
      </c>
      <c r="C229" s="62" t="s">
        <v>82</v>
      </c>
      <c r="D229" s="62" t="s">
        <v>999</v>
      </c>
      <c r="E229" s="88">
        <f t="shared" si="25"/>
        <v>16075963.844649071</v>
      </c>
      <c r="F229" s="64"/>
      <c r="G229" s="64"/>
      <c r="H229" s="64">
        <v>0</v>
      </c>
      <c r="I229" s="64"/>
      <c r="J229" s="64">
        <v>0</v>
      </c>
      <c r="K229" s="64"/>
      <c r="L229" s="64"/>
      <c r="M229" s="64">
        <v>0</v>
      </c>
      <c r="N229" s="64">
        <v>0</v>
      </c>
      <c r="O229" s="64"/>
      <c r="P229" s="64">
        <v>15731938.21837358</v>
      </c>
      <c r="Q229" s="64">
        <v>0</v>
      </c>
      <c r="R229" s="64"/>
      <c r="S229" s="65"/>
      <c r="T229" s="66">
        <v>344025.62627549015</v>
      </c>
      <c r="U229" s="67"/>
    </row>
    <row r="230" spans="1:21" x14ac:dyDescent="0.25">
      <c r="A230" s="60">
        <f t="shared" si="22"/>
        <v>203</v>
      </c>
      <c r="B230" s="61">
        <f t="shared" si="23"/>
        <v>15</v>
      </c>
      <c r="C230" s="62" t="s">
        <v>82</v>
      </c>
      <c r="D230" s="62" t="s">
        <v>1064</v>
      </c>
      <c r="E230" s="88">
        <f t="shared" si="25"/>
        <v>4281809.6559070544</v>
      </c>
      <c r="F230" s="64"/>
      <c r="G230" s="64">
        <v>0</v>
      </c>
      <c r="H230" s="64">
        <v>0</v>
      </c>
      <c r="I230" s="64">
        <v>0</v>
      </c>
      <c r="J230" s="64">
        <v>0</v>
      </c>
      <c r="K230" s="64"/>
      <c r="L230" s="64"/>
      <c r="M230" s="64">
        <v>0</v>
      </c>
      <c r="N230" s="64">
        <v>0</v>
      </c>
      <c r="O230" s="64">
        <v>0</v>
      </c>
      <c r="P230" s="64">
        <v>3944120.89</v>
      </c>
      <c r="Q230" s="64">
        <v>0</v>
      </c>
      <c r="R230" s="64"/>
      <c r="S230" s="65"/>
      <c r="T230" s="66">
        <v>337688.76590705459</v>
      </c>
      <c r="U230" s="67"/>
    </row>
    <row r="231" spans="1:21" x14ac:dyDescent="0.25">
      <c r="A231" s="60">
        <f t="shared" si="22"/>
        <v>204</v>
      </c>
      <c r="B231" s="61">
        <f t="shared" si="23"/>
        <v>16</v>
      </c>
      <c r="C231" s="62" t="s">
        <v>82</v>
      </c>
      <c r="D231" s="62" t="s">
        <v>1065</v>
      </c>
      <c r="E231" s="88">
        <f t="shared" si="25"/>
        <v>15863907.86463787</v>
      </c>
      <c r="F231" s="64"/>
      <c r="G231" s="64">
        <v>0</v>
      </c>
      <c r="H231" s="64">
        <v>0</v>
      </c>
      <c r="I231" s="64">
        <v>0</v>
      </c>
      <c r="J231" s="64">
        <v>0</v>
      </c>
      <c r="K231" s="64"/>
      <c r="L231" s="64"/>
      <c r="M231" s="64"/>
      <c r="N231" s="64"/>
      <c r="O231" s="64"/>
      <c r="P231" s="64">
        <v>15524420.23633462</v>
      </c>
      <c r="Q231" s="64">
        <v>0</v>
      </c>
      <c r="R231" s="64"/>
      <c r="S231" s="65"/>
      <c r="T231" s="66">
        <v>339487.62830325047</v>
      </c>
      <c r="U231" s="67"/>
    </row>
    <row r="232" spans="1:21" x14ac:dyDescent="0.25">
      <c r="A232" s="60">
        <f t="shared" si="22"/>
        <v>205</v>
      </c>
      <c r="B232" s="61">
        <f t="shared" si="23"/>
        <v>17</v>
      </c>
      <c r="C232" s="62" t="s">
        <v>82</v>
      </c>
      <c r="D232" s="62" t="s">
        <v>1066</v>
      </c>
      <c r="E232" s="88">
        <f t="shared" si="25"/>
        <v>24639934.329513032</v>
      </c>
      <c r="F232" s="64">
        <v>23086920.098178856</v>
      </c>
      <c r="G232" s="64">
        <v>0</v>
      </c>
      <c r="H232" s="64"/>
      <c r="I232" s="64">
        <v>0</v>
      </c>
      <c r="J232" s="64">
        <v>0</v>
      </c>
      <c r="K232" s="64"/>
      <c r="L232" s="64">
        <v>1025719.6366825957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/>
      <c r="S232" s="65"/>
      <c r="T232" s="66">
        <v>527294.59465157881</v>
      </c>
      <c r="U232" s="67"/>
    </row>
    <row r="233" spans="1:21" x14ac:dyDescent="0.25">
      <c r="A233" s="60">
        <f t="shared" si="22"/>
        <v>206</v>
      </c>
      <c r="B233" s="61">
        <f t="shared" si="23"/>
        <v>18</v>
      </c>
      <c r="C233" s="62" t="s">
        <v>82</v>
      </c>
      <c r="D233" s="62" t="s">
        <v>654</v>
      </c>
      <c r="E233" s="88">
        <f t="shared" si="25"/>
        <v>13615505.81675427</v>
      </c>
      <c r="F233" s="64">
        <v>6434490.0569673264</v>
      </c>
      <c r="G233" s="64">
        <v>2579400.6477582264</v>
      </c>
      <c r="H233" s="64"/>
      <c r="I233" s="64">
        <v>1228279.0768493079</v>
      </c>
      <c r="J233" s="64">
        <v>0</v>
      </c>
      <c r="K233" s="64"/>
      <c r="L233" s="64">
        <v>263647.88892809901</v>
      </c>
      <c r="M233" s="64">
        <v>0</v>
      </c>
      <c r="N233" s="64">
        <v>2818316.3217727714</v>
      </c>
      <c r="O233" s="64">
        <v>0</v>
      </c>
      <c r="P233" s="64">
        <v>0</v>
      </c>
      <c r="Q233" s="64">
        <v>0</v>
      </c>
      <c r="R233" s="64"/>
      <c r="S233" s="65"/>
      <c r="T233" s="66">
        <v>291371.82447854138</v>
      </c>
      <c r="U233" s="67"/>
    </row>
    <row r="234" spans="1:21" x14ac:dyDescent="0.25">
      <c r="A234" s="60">
        <f t="shared" si="22"/>
        <v>207</v>
      </c>
      <c r="B234" s="61">
        <f t="shared" si="23"/>
        <v>19</v>
      </c>
      <c r="C234" s="62" t="s">
        <v>82</v>
      </c>
      <c r="D234" s="62" t="s">
        <v>631</v>
      </c>
      <c r="E234" s="63">
        <f t="shared" si="24"/>
        <v>4356885.5964561403</v>
      </c>
      <c r="F234" s="64">
        <v>3825570</v>
      </c>
      <c r="G234" s="64"/>
      <c r="H234" s="64"/>
      <c r="I234" s="64">
        <v>0</v>
      </c>
      <c r="J234" s="64">
        <v>0</v>
      </c>
      <c r="K234" s="64"/>
      <c r="L234" s="64"/>
      <c r="M234" s="64"/>
      <c r="N234" s="64"/>
      <c r="O234" s="64">
        <v>0</v>
      </c>
      <c r="P234" s="64">
        <v>0</v>
      </c>
      <c r="Q234" s="64">
        <v>0</v>
      </c>
      <c r="R234" s="64"/>
      <c r="S234" s="65"/>
      <c r="T234" s="66">
        <v>531315.59645614028</v>
      </c>
      <c r="U234" s="67"/>
    </row>
    <row r="235" spans="1:21" x14ac:dyDescent="0.25">
      <c r="A235" s="60">
        <f t="shared" si="22"/>
        <v>208</v>
      </c>
      <c r="B235" s="61">
        <f t="shared" si="23"/>
        <v>20</v>
      </c>
      <c r="C235" s="62" t="s">
        <v>82</v>
      </c>
      <c r="D235" s="62" t="s">
        <v>1002</v>
      </c>
      <c r="E235" s="63">
        <f t="shared" si="24"/>
        <v>1476035.4285397425</v>
      </c>
      <c r="F235" s="64"/>
      <c r="G235" s="64"/>
      <c r="H235" s="64">
        <v>942849.34432128002</v>
      </c>
      <c r="I235" s="64"/>
      <c r="J235" s="64">
        <v>0</v>
      </c>
      <c r="K235" s="64"/>
      <c r="L235" s="64"/>
      <c r="M235" s="64">
        <v>0</v>
      </c>
      <c r="N235" s="64">
        <v>0</v>
      </c>
      <c r="O235" s="64"/>
      <c r="P235" s="64">
        <v>0</v>
      </c>
      <c r="Q235" s="64">
        <v>0</v>
      </c>
      <c r="R235" s="64"/>
      <c r="S235" s="65"/>
      <c r="T235" s="66">
        <v>533186.08421846246</v>
      </c>
      <c r="U235" s="67"/>
    </row>
    <row r="236" spans="1:21" x14ac:dyDescent="0.25">
      <c r="A236" s="60">
        <f t="shared" si="22"/>
        <v>209</v>
      </c>
      <c r="B236" s="61">
        <f t="shared" si="23"/>
        <v>21</v>
      </c>
      <c r="C236" s="62" t="s">
        <v>82</v>
      </c>
      <c r="D236" s="62" t="s">
        <v>1067</v>
      </c>
      <c r="E236" s="63">
        <f t="shared" si="24"/>
        <v>2729457.7335245288</v>
      </c>
      <c r="F236" s="64"/>
      <c r="G236" s="64">
        <v>953472.79</v>
      </c>
      <c r="H236" s="64">
        <v>0</v>
      </c>
      <c r="I236" s="64">
        <v>1703911.38</v>
      </c>
      <c r="J236" s="64">
        <v>0</v>
      </c>
      <c r="K236" s="64"/>
      <c r="L236" s="64"/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/>
      <c r="S236" s="65"/>
      <c r="T236" s="66">
        <v>72073.563524528814</v>
      </c>
      <c r="U236" s="67"/>
    </row>
    <row r="237" spans="1:21" x14ac:dyDescent="0.25">
      <c r="A237" s="60">
        <f t="shared" si="22"/>
        <v>210</v>
      </c>
      <c r="B237" s="61">
        <f t="shared" si="23"/>
        <v>22</v>
      </c>
      <c r="C237" s="62" t="s">
        <v>82</v>
      </c>
      <c r="D237" s="62" t="s">
        <v>656</v>
      </c>
      <c r="E237" s="88">
        <f t="shared" si="24"/>
        <v>10566988.372962838</v>
      </c>
      <c r="F237" s="64">
        <v>9672123.3663251549</v>
      </c>
      <c r="G237" s="64"/>
      <c r="H237" s="64">
        <v>0</v>
      </c>
      <c r="I237" s="64"/>
      <c r="J237" s="64">
        <v>0</v>
      </c>
      <c r="K237" s="64"/>
      <c r="L237" s="64">
        <v>401573.35786682391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/>
      <c r="S237" s="65"/>
      <c r="T237" s="66">
        <v>493291.64877085871</v>
      </c>
      <c r="U237" s="67"/>
    </row>
    <row r="238" spans="1:21" x14ac:dyDescent="0.25">
      <c r="A238" s="60">
        <f t="shared" si="22"/>
        <v>211</v>
      </c>
      <c r="B238" s="61">
        <f t="shared" si="23"/>
        <v>23</v>
      </c>
      <c r="C238" s="62" t="s">
        <v>82</v>
      </c>
      <c r="D238" s="62" t="s">
        <v>1006</v>
      </c>
      <c r="E238" s="63">
        <f t="shared" si="24"/>
        <v>5259601.8489347352</v>
      </c>
      <c r="F238" s="64">
        <v>2924642.29</v>
      </c>
      <c r="G238" s="64"/>
      <c r="H238" s="64"/>
      <c r="I238" s="64">
        <v>1797583.57</v>
      </c>
      <c r="J238" s="64">
        <v>0</v>
      </c>
      <c r="K238" s="64"/>
      <c r="L238" s="64"/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/>
      <c r="S238" s="65"/>
      <c r="T238" s="66">
        <v>537375.98893473484</v>
      </c>
      <c r="U238" s="67"/>
    </row>
    <row r="239" spans="1:21" x14ac:dyDescent="0.25">
      <c r="A239" s="60">
        <f t="shared" si="22"/>
        <v>212</v>
      </c>
      <c r="B239" s="61">
        <f t="shared" si="23"/>
        <v>24</v>
      </c>
      <c r="C239" s="62" t="s">
        <v>82</v>
      </c>
      <c r="D239" s="62" t="s">
        <v>447</v>
      </c>
      <c r="E239" s="88">
        <f>SUBTOTAL(9,F239:T239)</f>
        <v>14159244.434273491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/>
      <c r="L239" s="64"/>
      <c r="M239" s="64">
        <v>0</v>
      </c>
      <c r="N239" s="64">
        <v>0</v>
      </c>
      <c r="O239" s="64">
        <v>0</v>
      </c>
      <c r="P239" s="64">
        <v>13745702.449999999</v>
      </c>
      <c r="Q239" s="64">
        <v>0</v>
      </c>
      <c r="R239" s="64"/>
      <c r="S239" s="64"/>
      <c r="T239" s="66">
        <v>413541.98427349224</v>
      </c>
      <c r="U239" s="67"/>
    </row>
    <row r="240" spans="1:21" x14ac:dyDescent="0.25">
      <c r="A240" s="60">
        <f t="shared" si="22"/>
        <v>213</v>
      </c>
      <c r="B240" s="61">
        <f t="shared" si="23"/>
        <v>25</v>
      </c>
      <c r="C240" s="62" t="s">
        <v>82</v>
      </c>
      <c r="D240" s="62" t="s">
        <v>1068</v>
      </c>
      <c r="E240" s="63">
        <f t="shared" si="24"/>
        <v>24578857.282722518</v>
      </c>
      <c r="F240" s="64">
        <v>6133316.7977849664</v>
      </c>
      <c r="G240" s="64"/>
      <c r="H240" s="64"/>
      <c r="I240" s="64"/>
      <c r="J240" s="64"/>
      <c r="K240" s="64"/>
      <c r="L240" s="64">
        <v>272494.70482550462</v>
      </c>
      <c r="M240" s="64">
        <v>0</v>
      </c>
      <c r="N240" s="64">
        <v>0</v>
      </c>
      <c r="O240" s="64">
        <v>0</v>
      </c>
      <c r="P240" s="64">
        <v>17569980.090778742</v>
      </c>
      <c r="Q240" s="64">
        <v>0</v>
      </c>
      <c r="R240" s="64"/>
      <c r="S240" s="65"/>
      <c r="T240" s="66">
        <f>39634.6981632197+563430.991170086</f>
        <v>603065.68933330569</v>
      </c>
      <c r="U240" s="67"/>
    </row>
    <row r="241" spans="1:21" x14ac:dyDescent="0.25">
      <c r="A241" s="60">
        <f t="shared" si="22"/>
        <v>214</v>
      </c>
      <c r="B241" s="61">
        <f t="shared" si="23"/>
        <v>26</v>
      </c>
      <c r="C241" s="62" t="s">
        <v>82</v>
      </c>
      <c r="D241" s="62" t="s">
        <v>325</v>
      </c>
      <c r="E241" s="88">
        <f>SUBTOTAL(9,F241:T241)</f>
        <v>30321154.784761567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/>
      <c r="L241" s="64"/>
      <c r="M241" s="64">
        <v>0</v>
      </c>
      <c r="N241" s="64">
        <v>0</v>
      </c>
      <c r="O241" s="64">
        <v>0</v>
      </c>
      <c r="P241" s="64">
        <v>29741216.056796018</v>
      </c>
      <c r="Q241" s="64">
        <v>0</v>
      </c>
      <c r="R241" s="64"/>
      <c r="S241" s="64"/>
      <c r="T241" s="66">
        <v>579938.72796554875</v>
      </c>
      <c r="U241" s="67"/>
    </row>
    <row r="242" spans="1:21" x14ac:dyDescent="0.25">
      <c r="A242" s="60">
        <f t="shared" si="22"/>
        <v>215</v>
      </c>
      <c r="B242" s="61">
        <f t="shared" si="23"/>
        <v>27</v>
      </c>
      <c r="C242" s="62" t="s">
        <v>82</v>
      </c>
      <c r="D242" s="62" t="s">
        <v>1069</v>
      </c>
      <c r="E242" s="88">
        <f>SUBTOTAL(9,F242:T242)</f>
        <v>18619115.200956475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/>
      <c r="L242" s="64"/>
      <c r="M242" s="64">
        <v>0</v>
      </c>
      <c r="N242" s="64">
        <v>0</v>
      </c>
      <c r="O242" s="64">
        <v>0</v>
      </c>
      <c r="P242" s="64">
        <v>17777901.600000001</v>
      </c>
      <c r="Q242" s="64">
        <v>0</v>
      </c>
      <c r="R242" s="64"/>
      <c r="S242" s="64"/>
      <c r="T242" s="66">
        <v>841213.6009564735</v>
      </c>
      <c r="U242" s="67"/>
    </row>
    <row r="243" spans="1:21" x14ac:dyDescent="0.25">
      <c r="A243" s="60">
        <f t="shared" si="22"/>
        <v>216</v>
      </c>
      <c r="B243" s="61">
        <f t="shared" si="23"/>
        <v>28</v>
      </c>
      <c r="C243" s="62" t="s">
        <v>82</v>
      </c>
      <c r="D243" s="62" t="s">
        <v>330</v>
      </c>
      <c r="E243" s="88">
        <f t="shared" ref="E243" si="26">SUBTOTAL(9,F243:T243)</f>
        <v>3415264.4019965469</v>
      </c>
      <c r="F243" s="64">
        <v>2105749.0699999998</v>
      </c>
      <c r="G243" s="64"/>
      <c r="H243" s="64"/>
      <c r="I243" s="64">
        <v>888374.4</v>
      </c>
      <c r="J243" s="64">
        <v>0</v>
      </c>
      <c r="K243" s="64"/>
      <c r="L243" s="64">
        <v>327305.36184192001</v>
      </c>
      <c r="M243" s="64">
        <v>0</v>
      </c>
      <c r="N243" s="64">
        <v>0</v>
      </c>
      <c r="O243" s="64"/>
      <c r="P243" s="64">
        <v>0</v>
      </c>
      <c r="Q243" s="64">
        <v>0</v>
      </c>
      <c r="R243" s="64"/>
      <c r="S243" s="65"/>
      <c r="T243" s="66">
        <v>93835.570154627276</v>
      </c>
      <c r="U243" s="67"/>
    </row>
    <row r="244" spans="1:21" x14ac:dyDescent="0.25">
      <c r="A244" s="60">
        <f t="shared" si="22"/>
        <v>217</v>
      </c>
      <c r="B244" s="61">
        <f t="shared" si="23"/>
        <v>29</v>
      </c>
      <c r="C244" s="62" t="s">
        <v>82</v>
      </c>
      <c r="D244" s="62" t="s">
        <v>333</v>
      </c>
      <c r="E244" s="63">
        <f t="shared" si="24"/>
        <v>9298826.2293740809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/>
      <c r="L244" s="64"/>
      <c r="M244" s="64">
        <v>0</v>
      </c>
      <c r="N244" s="64">
        <v>8234860.9800000004</v>
      </c>
      <c r="O244" s="64">
        <v>0</v>
      </c>
      <c r="P244" s="64"/>
      <c r="Q244" s="64">
        <v>0</v>
      </c>
      <c r="R244" s="64"/>
      <c r="S244" s="65"/>
      <c r="T244" s="66">
        <v>1063965.2493740798</v>
      </c>
      <c r="U244" s="67"/>
    </row>
    <row r="245" spans="1:21" x14ac:dyDescent="0.25">
      <c r="A245" s="60">
        <f t="shared" si="22"/>
        <v>218</v>
      </c>
      <c r="B245" s="61">
        <f t="shared" si="23"/>
        <v>30</v>
      </c>
      <c r="C245" s="62" t="s">
        <v>82</v>
      </c>
      <c r="D245" s="62" t="s">
        <v>663</v>
      </c>
      <c r="E245" s="88">
        <f>SUBTOTAL(9,F245:T245)</f>
        <v>8370298.1810806282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/>
      <c r="L245" s="64"/>
      <c r="M245" s="64">
        <v>0</v>
      </c>
      <c r="N245" s="64">
        <v>8193337.4100000001</v>
      </c>
      <c r="O245" s="64">
        <v>0</v>
      </c>
      <c r="P245" s="64">
        <v>0</v>
      </c>
      <c r="Q245" s="64">
        <v>0</v>
      </c>
      <c r="R245" s="64"/>
      <c r="S245" s="65"/>
      <c r="T245" s="66">
        <v>176960.77108062804</v>
      </c>
      <c r="U245" s="67"/>
    </row>
    <row r="246" spans="1:21" x14ac:dyDescent="0.25">
      <c r="A246" s="60">
        <f t="shared" si="22"/>
        <v>219</v>
      </c>
      <c r="B246" s="61">
        <f t="shared" si="23"/>
        <v>31</v>
      </c>
      <c r="C246" s="62" t="s">
        <v>82</v>
      </c>
      <c r="D246" s="62" t="s">
        <v>337</v>
      </c>
      <c r="E246" s="63">
        <f t="shared" si="24"/>
        <v>5935901.4009709377</v>
      </c>
      <c r="F246" s="64">
        <v>5754660.8418093584</v>
      </c>
      <c r="G246" s="64"/>
      <c r="H246" s="64">
        <v>0</v>
      </c>
      <c r="I246" s="64">
        <v>0</v>
      </c>
      <c r="J246" s="64">
        <v>0</v>
      </c>
      <c r="K246" s="64"/>
      <c r="L246" s="64"/>
      <c r="M246" s="64"/>
      <c r="N246" s="64"/>
      <c r="O246" s="64"/>
      <c r="P246" s="64"/>
      <c r="Q246" s="64">
        <v>0</v>
      </c>
      <c r="R246" s="64"/>
      <c r="S246" s="65"/>
      <c r="T246" s="66">
        <v>181240.55916157967</v>
      </c>
      <c r="U246" s="67"/>
    </row>
    <row r="247" spans="1:21" x14ac:dyDescent="0.25">
      <c r="A247" s="60">
        <f t="shared" si="22"/>
        <v>220</v>
      </c>
      <c r="B247" s="61">
        <f t="shared" si="23"/>
        <v>32</v>
      </c>
      <c r="C247" s="62" t="s">
        <v>82</v>
      </c>
      <c r="D247" s="62" t="s">
        <v>1070</v>
      </c>
      <c r="E247" s="88">
        <f t="shared" si="24"/>
        <v>33055648.243470304</v>
      </c>
      <c r="F247" s="64">
        <v>11858561.038653761</v>
      </c>
      <c r="G247" s="64">
        <v>0</v>
      </c>
      <c r="H247" s="64">
        <v>0</v>
      </c>
      <c r="I247" s="64"/>
      <c r="J247" s="64">
        <v>0</v>
      </c>
      <c r="K247" s="64"/>
      <c r="L247" s="64">
        <v>492326.58379190101</v>
      </c>
      <c r="M247" s="64">
        <v>0</v>
      </c>
      <c r="N247" s="64">
        <v>19618197.919447646</v>
      </c>
      <c r="O247" s="64"/>
      <c r="P247" s="64">
        <v>0</v>
      </c>
      <c r="Q247" s="64">
        <v>0</v>
      </c>
      <c r="R247" s="64"/>
      <c r="S247" s="65"/>
      <c r="T247" s="66">
        <v>1086562.7015769957</v>
      </c>
      <c r="U247" s="67"/>
    </row>
    <row r="248" spans="1:21" x14ac:dyDescent="0.25">
      <c r="A248" s="60">
        <f t="shared" si="22"/>
        <v>221</v>
      </c>
      <c r="B248" s="61">
        <f t="shared" si="23"/>
        <v>33</v>
      </c>
      <c r="C248" s="62" t="s">
        <v>82</v>
      </c>
      <c r="D248" s="62" t="s">
        <v>1071</v>
      </c>
      <c r="E248" s="63">
        <f t="shared" si="24"/>
        <v>31127981.379999999</v>
      </c>
      <c r="F248" s="64">
        <v>10425186.939999999</v>
      </c>
      <c r="G248" s="64">
        <v>4577737.76</v>
      </c>
      <c r="H248" s="64">
        <v>0</v>
      </c>
      <c r="I248" s="64">
        <v>0</v>
      </c>
      <c r="J248" s="64">
        <v>0</v>
      </c>
      <c r="K248" s="64"/>
      <c r="L248" s="64">
        <v>397015.54</v>
      </c>
      <c r="M248" s="64">
        <v>0</v>
      </c>
      <c r="N248" s="89">
        <v>7920633.25</v>
      </c>
      <c r="O248" s="89">
        <v>6914976.7999999998</v>
      </c>
      <c r="P248" s="64">
        <v>0</v>
      </c>
      <c r="Q248" s="64">
        <v>0</v>
      </c>
      <c r="R248" s="64"/>
      <c r="S248" s="65"/>
      <c r="T248" s="66">
        <v>892431.09</v>
      </c>
      <c r="U248" s="67"/>
    </row>
    <row r="249" spans="1:21" x14ac:dyDescent="0.25">
      <c r="A249" s="60">
        <f t="shared" si="22"/>
        <v>222</v>
      </c>
      <c r="B249" s="61">
        <f t="shared" si="23"/>
        <v>34</v>
      </c>
      <c r="C249" s="62" t="s">
        <v>82</v>
      </c>
      <c r="D249" s="62" t="s">
        <v>1072</v>
      </c>
      <c r="E249" s="63">
        <f t="shared" si="24"/>
        <v>5241164.7990356795</v>
      </c>
      <c r="F249" s="64">
        <v>0</v>
      </c>
      <c r="G249" s="64">
        <v>0</v>
      </c>
      <c r="H249" s="64">
        <v>917077.8</v>
      </c>
      <c r="I249" s="64">
        <v>0</v>
      </c>
      <c r="J249" s="64">
        <v>0</v>
      </c>
      <c r="K249" s="64"/>
      <c r="L249" s="64"/>
      <c r="M249" s="64">
        <v>0</v>
      </c>
      <c r="N249" s="64">
        <v>0</v>
      </c>
      <c r="O249" s="64">
        <v>4285501.51</v>
      </c>
      <c r="P249" s="64">
        <v>0</v>
      </c>
      <c r="Q249" s="64">
        <v>0</v>
      </c>
      <c r="R249" s="64"/>
      <c r="S249" s="65"/>
      <c r="T249" s="66">
        <v>38585.489035679544</v>
      </c>
      <c r="U249" s="67"/>
    </row>
    <row r="250" spans="1:21" x14ac:dyDescent="0.25">
      <c r="A250" s="60">
        <f t="shared" si="22"/>
        <v>223</v>
      </c>
      <c r="B250" s="61">
        <f t="shared" si="23"/>
        <v>35</v>
      </c>
      <c r="C250" s="62" t="s">
        <v>82</v>
      </c>
      <c r="D250" s="62" t="s">
        <v>640</v>
      </c>
      <c r="E250" s="63">
        <f t="shared" si="24"/>
        <v>18498158.429174457</v>
      </c>
      <c r="F250" s="64">
        <v>9987277.6916511413</v>
      </c>
      <c r="G250" s="64">
        <v>0</v>
      </c>
      <c r="H250" s="64">
        <v>3500633.098855949</v>
      </c>
      <c r="I250" s="64">
        <v>4233998.4929506173</v>
      </c>
      <c r="J250" s="64">
        <v>0</v>
      </c>
      <c r="K250" s="64"/>
      <c r="L250" s="64">
        <v>380388.55533241422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/>
      <c r="S250" s="65"/>
      <c r="T250" s="66">
        <v>395860.59038433328</v>
      </c>
      <c r="U250" s="67"/>
    </row>
    <row r="251" spans="1:21" x14ac:dyDescent="0.25">
      <c r="A251" s="60">
        <f t="shared" si="22"/>
        <v>224</v>
      </c>
      <c r="B251" s="61">
        <f t="shared" si="23"/>
        <v>36</v>
      </c>
      <c r="C251" s="62" t="s">
        <v>82</v>
      </c>
      <c r="D251" s="62" t="s">
        <v>641</v>
      </c>
      <c r="E251" s="63">
        <f t="shared" si="24"/>
        <v>14209680.614512641</v>
      </c>
      <c r="F251" s="64">
        <v>9904894.5340016168</v>
      </c>
      <c r="G251" s="64">
        <v>0</v>
      </c>
      <c r="H251" s="64"/>
      <c r="I251" s="64">
        <v>3534919.74</v>
      </c>
      <c r="J251" s="64">
        <v>0</v>
      </c>
      <c r="K251" s="64"/>
      <c r="L251" s="64">
        <v>377270.48148366035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/>
      <c r="S251" s="65"/>
      <c r="T251" s="66">
        <v>392595.8590273626</v>
      </c>
      <c r="U251" s="67"/>
    </row>
    <row r="252" spans="1:21" x14ac:dyDescent="0.25">
      <c r="A252" s="60">
        <f t="shared" si="22"/>
        <v>225</v>
      </c>
      <c r="B252" s="61">
        <f t="shared" si="23"/>
        <v>37</v>
      </c>
      <c r="C252" s="62" t="s">
        <v>82</v>
      </c>
      <c r="D252" s="62" t="s">
        <v>456</v>
      </c>
      <c r="E252" s="88">
        <f>SUBTOTAL(9,F252:T252)</f>
        <v>39683829.239116438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/>
      <c r="L252" s="64"/>
      <c r="M252" s="64">
        <v>0</v>
      </c>
      <c r="N252" s="64">
        <v>0</v>
      </c>
      <c r="O252" s="64">
        <v>0</v>
      </c>
      <c r="P252" s="64">
        <v>38834595.293399349</v>
      </c>
      <c r="Q252" s="64">
        <v>0</v>
      </c>
      <c r="R252" s="64"/>
      <c r="S252" s="64"/>
      <c r="T252" s="66">
        <v>849233.9457170919</v>
      </c>
      <c r="U252" s="67"/>
    </row>
    <row r="253" spans="1:21" x14ac:dyDescent="0.25">
      <c r="A253" s="60">
        <f t="shared" si="22"/>
        <v>226</v>
      </c>
      <c r="B253" s="61">
        <f t="shared" si="23"/>
        <v>38</v>
      </c>
      <c r="C253" s="62" t="s">
        <v>82</v>
      </c>
      <c r="D253" s="62" t="s">
        <v>338</v>
      </c>
      <c r="E253" s="63">
        <f t="shared" si="24"/>
        <v>14941811.062059099</v>
      </c>
      <c r="F253" s="64">
        <v>9966368.6576054357</v>
      </c>
      <c r="G253" s="64">
        <v>0</v>
      </c>
      <c r="H253" s="64"/>
      <c r="I253" s="64">
        <v>4203635.1697849901</v>
      </c>
      <c r="J253" s="64">
        <v>0</v>
      </c>
      <c r="K253" s="64"/>
      <c r="L253" s="64">
        <v>377673.60976489773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/>
      <c r="S253" s="65"/>
      <c r="T253" s="66">
        <v>394133.62490377499</v>
      </c>
      <c r="U253" s="67"/>
    </row>
    <row r="254" spans="1:21" x14ac:dyDescent="0.25">
      <c r="A254" s="60">
        <f t="shared" si="22"/>
        <v>227</v>
      </c>
      <c r="B254" s="61">
        <f t="shared" si="23"/>
        <v>39</v>
      </c>
      <c r="C254" s="62" t="s">
        <v>82</v>
      </c>
      <c r="D254" s="62" t="s">
        <v>666</v>
      </c>
      <c r="E254" s="88">
        <f>SUBTOTAL(9,F254:T254)</f>
        <v>19753554.682315666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/>
      <c r="L254" s="64"/>
      <c r="M254" s="64">
        <v>0</v>
      </c>
      <c r="N254" s="64">
        <v>0</v>
      </c>
      <c r="O254" s="64">
        <v>0</v>
      </c>
      <c r="P254" s="64">
        <v>18930963.042262111</v>
      </c>
      <c r="Q254" s="64">
        <v>0</v>
      </c>
      <c r="R254" s="64">
        <v>408609.82</v>
      </c>
      <c r="S254" s="64"/>
      <c r="T254" s="66">
        <v>413981.8200535553</v>
      </c>
      <c r="U254" s="67"/>
    </row>
    <row r="255" spans="1:21" x14ac:dyDescent="0.25">
      <c r="A255" s="60">
        <f t="shared" si="22"/>
        <v>228</v>
      </c>
      <c r="B255" s="61">
        <f t="shared" si="23"/>
        <v>40</v>
      </c>
      <c r="C255" s="62" t="s">
        <v>82</v>
      </c>
      <c r="D255" s="62" t="s">
        <v>342</v>
      </c>
      <c r="E255" s="88">
        <f>SUBTOTAL(9,F255:T255)</f>
        <v>9825604.9005436506</v>
      </c>
      <c r="F255" s="64">
        <v>4922338.54</v>
      </c>
      <c r="G255" s="64">
        <v>2955743</v>
      </c>
      <c r="H255" s="64">
        <v>0</v>
      </c>
      <c r="I255" s="64">
        <v>1405274.47</v>
      </c>
      <c r="J255" s="64">
        <v>0</v>
      </c>
      <c r="K255" s="64"/>
      <c r="L255" s="64">
        <v>300589.46674277715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/>
      <c r="S255" s="65"/>
      <c r="T255" s="66">
        <v>241659.42380087369</v>
      </c>
      <c r="U255" s="67"/>
    </row>
    <row r="256" spans="1:21" x14ac:dyDescent="0.25">
      <c r="A256" s="60">
        <f t="shared" si="22"/>
        <v>229</v>
      </c>
      <c r="B256" s="61">
        <f t="shared" si="23"/>
        <v>41</v>
      </c>
      <c r="C256" s="62" t="s">
        <v>82</v>
      </c>
      <c r="D256" s="62" t="s">
        <v>643</v>
      </c>
      <c r="E256" s="63">
        <f t="shared" si="24"/>
        <v>3390121.8293774603</v>
      </c>
      <c r="F256" s="64">
        <v>0</v>
      </c>
      <c r="G256" s="64">
        <v>0</v>
      </c>
      <c r="H256" s="64">
        <v>927231.11</v>
      </c>
      <c r="I256" s="64">
        <v>1740087.49</v>
      </c>
      <c r="J256" s="64">
        <v>0</v>
      </c>
      <c r="K256" s="64"/>
      <c r="L256" s="64"/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575687.75556044595</v>
      </c>
      <c r="S256" s="65">
        <v>51240.590709295109</v>
      </c>
      <c r="T256" s="66">
        <v>95874.88310771907</v>
      </c>
      <c r="U256" s="67"/>
    </row>
    <row r="257" spans="1:21" x14ac:dyDescent="0.25">
      <c r="A257" s="60">
        <f t="shared" si="22"/>
        <v>230</v>
      </c>
      <c r="B257" s="61">
        <f t="shared" si="23"/>
        <v>42</v>
      </c>
      <c r="C257" s="62" t="s">
        <v>83</v>
      </c>
      <c r="D257" s="62" t="s">
        <v>1010</v>
      </c>
      <c r="E257" s="63">
        <f t="shared" si="24"/>
        <v>17694269.120000001</v>
      </c>
      <c r="F257" s="64">
        <v>17694269.120000001</v>
      </c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5"/>
      <c r="T257" s="66"/>
      <c r="U257" s="67"/>
    </row>
    <row r="258" spans="1:21" x14ac:dyDescent="0.25">
      <c r="A258" s="60">
        <f t="shared" si="22"/>
        <v>231</v>
      </c>
      <c r="B258" s="61">
        <f t="shared" si="23"/>
        <v>43</v>
      </c>
      <c r="C258" s="61" t="s">
        <v>71</v>
      </c>
      <c r="D258" s="62" t="s">
        <v>622</v>
      </c>
      <c r="E258" s="63">
        <f t="shared" si="24"/>
        <v>9483523.7207000013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/>
      <c r="L258" s="64"/>
      <c r="M258" s="64">
        <v>0</v>
      </c>
      <c r="N258" s="64">
        <v>0</v>
      </c>
      <c r="O258" s="64">
        <v>0</v>
      </c>
      <c r="P258" s="64">
        <v>9280576.3130770214</v>
      </c>
      <c r="Q258" s="64">
        <v>0</v>
      </c>
      <c r="R258" s="64"/>
      <c r="S258" s="65"/>
      <c r="T258" s="66">
        <v>202947.40762298004</v>
      </c>
      <c r="U258" s="67"/>
    </row>
    <row r="259" spans="1:21" x14ac:dyDescent="0.25">
      <c r="A259" s="60">
        <f t="shared" si="22"/>
        <v>232</v>
      </c>
      <c r="B259" s="61">
        <f t="shared" si="23"/>
        <v>44</v>
      </c>
      <c r="C259" s="62" t="s">
        <v>71</v>
      </c>
      <c r="D259" s="62" t="s">
        <v>619</v>
      </c>
      <c r="E259" s="63">
        <f t="shared" si="24"/>
        <v>18608626.178599998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/>
      <c r="L259" s="64"/>
      <c r="M259" s="64">
        <v>0</v>
      </c>
      <c r="N259" s="64">
        <v>0</v>
      </c>
      <c r="O259" s="64">
        <v>0</v>
      </c>
      <c r="P259" s="64">
        <v>18210401.578377958</v>
      </c>
      <c r="Q259" s="64">
        <v>0</v>
      </c>
      <c r="R259" s="64"/>
      <c r="S259" s="65"/>
      <c r="T259" s="66">
        <v>398224.60022203997</v>
      </c>
      <c r="U259" s="67"/>
    </row>
    <row r="260" spans="1:21" x14ac:dyDescent="0.25">
      <c r="A260" s="60">
        <f t="shared" si="22"/>
        <v>233</v>
      </c>
      <c r="B260" s="61">
        <f t="shared" si="23"/>
        <v>45</v>
      </c>
      <c r="C260" s="62" t="s">
        <v>82</v>
      </c>
      <c r="D260" s="62" t="s">
        <v>1008</v>
      </c>
      <c r="E260" s="63">
        <f t="shared" si="24"/>
        <v>1185276.1114287239</v>
      </c>
      <c r="F260" s="64"/>
      <c r="G260" s="64">
        <v>0</v>
      </c>
      <c r="H260" s="64">
        <v>0</v>
      </c>
      <c r="I260" s="64">
        <v>998067.65</v>
      </c>
      <c r="J260" s="64">
        <v>0</v>
      </c>
      <c r="K260" s="64"/>
      <c r="L260" s="64"/>
      <c r="M260" s="64">
        <v>0</v>
      </c>
      <c r="N260" s="64">
        <v>0</v>
      </c>
      <c r="O260" s="64"/>
      <c r="P260" s="64">
        <v>0</v>
      </c>
      <c r="Q260" s="64">
        <v>0</v>
      </c>
      <c r="R260" s="64"/>
      <c r="S260" s="65"/>
      <c r="T260" s="66">
        <v>187208.46142872394</v>
      </c>
      <c r="U260" s="67"/>
    </row>
    <row r="261" spans="1:21" x14ac:dyDescent="0.25">
      <c r="A261" s="60">
        <f t="shared" si="22"/>
        <v>234</v>
      </c>
      <c r="B261" s="61">
        <f t="shared" si="23"/>
        <v>46</v>
      </c>
      <c r="C261" s="62" t="s">
        <v>82</v>
      </c>
      <c r="D261" s="62" t="s">
        <v>648</v>
      </c>
      <c r="E261" s="63">
        <f t="shared" si="24"/>
        <v>11922906.7811273</v>
      </c>
      <c r="F261" s="64">
        <v>11159574.199489523</v>
      </c>
      <c r="G261" s="64">
        <v>0</v>
      </c>
      <c r="H261" s="64"/>
      <c r="I261" s="64">
        <v>0</v>
      </c>
      <c r="J261" s="64">
        <v>0</v>
      </c>
      <c r="K261" s="64"/>
      <c r="L261" s="64">
        <v>424568.12411291135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/>
      <c r="S261" s="65"/>
      <c r="T261" s="66">
        <v>338764.45752486604</v>
      </c>
      <c r="U261" s="67"/>
    </row>
    <row r="262" spans="1:21" x14ac:dyDescent="0.25">
      <c r="A262" s="60">
        <f t="shared" si="22"/>
        <v>235</v>
      </c>
      <c r="B262" s="61">
        <f t="shared" si="23"/>
        <v>47</v>
      </c>
      <c r="C262" s="62" t="s">
        <v>52</v>
      </c>
      <c r="D262" s="62" t="s">
        <v>401</v>
      </c>
      <c r="E262" s="63">
        <f t="shared" si="24"/>
        <v>2251512.1387999998</v>
      </c>
      <c r="F262" s="64">
        <v>0</v>
      </c>
      <c r="G262" s="64">
        <v>0</v>
      </c>
      <c r="H262" s="64">
        <v>2203329.77902968</v>
      </c>
      <c r="I262" s="64">
        <v>0</v>
      </c>
      <c r="J262" s="64">
        <v>0</v>
      </c>
      <c r="K262" s="64"/>
      <c r="L262" s="64"/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/>
      <c r="S262" s="65"/>
      <c r="T262" s="66">
        <v>48182.359770319999</v>
      </c>
      <c r="U262" s="67"/>
    </row>
    <row r="263" spans="1:21" x14ac:dyDescent="0.25">
      <c r="A263" s="60">
        <f t="shared" si="22"/>
        <v>236</v>
      </c>
      <c r="B263" s="61">
        <f t="shared" si="23"/>
        <v>48</v>
      </c>
      <c r="C263" s="62" t="s">
        <v>52</v>
      </c>
      <c r="D263" s="62" t="s">
        <v>604</v>
      </c>
      <c r="E263" s="63">
        <f t="shared" si="24"/>
        <v>4547471.7011479996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/>
      <c r="L263" s="64"/>
      <c r="M263" s="64">
        <v>0</v>
      </c>
      <c r="N263" s="64">
        <v>4052702</v>
      </c>
      <c r="O263" s="64">
        <v>0</v>
      </c>
      <c r="P263" s="64">
        <v>0</v>
      </c>
      <c r="Q263" s="64">
        <v>0</v>
      </c>
      <c r="R263" s="64">
        <v>101648.88</v>
      </c>
      <c r="S263" s="64">
        <v>46818</v>
      </c>
      <c r="T263" s="66">
        <v>346302.82114799996</v>
      </c>
      <c r="U263" s="67"/>
    </row>
    <row r="264" spans="1:21" x14ac:dyDescent="0.25">
      <c r="A264" s="60">
        <f t="shared" si="22"/>
        <v>237</v>
      </c>
      <c r="B264" s="61">
        <f t="shared" si="23"/>
        <v>49</v>
      </c>
      <c r="C264" s="62" t="s">
        <v>52</v>
      </c>
      <c r="D264" s="62" t="s">
        <v>1011</v>
      </c>
      <c r="E264" s="63">
        <f t="shared" si="24"/>
        <v>1584388.41</v>
      </c>
      <c r="F264" s="64"/>
      <c r="G264" s="64">
        <v>0</v>
      </c>
      <c r="H264" s="64"/>
      <c r="I264" s="64">
        <v>1320750.78</v>
      </c>
      <c r="J264" s="64">
        <v>0</v>
      </c>
      <c r="K264" s="64"/>
      <c r="L264" s="64"/>
      <c r="M264" s="64">
        <v>0</v>
      </c>
      <c r="N264" s="64"/>
      <c r="O264" s="64">
        <v>0</v>
      </c>
      <c r="P264" s="64">
        <v>0</v>
      </c>
      <c r="Q264" s="64">
        <v>0</v>
      </c>
      <c r="R264" s="64">
        <v>86907.22</v>
      </c>
      <c r="S264" s="65">
        <v>25537.94</v>
      </c>
      <c r="T264" s="66">
        <v>151192.47</v>
      </c>
      <c r="U264" s="67"/>
    </row>
    <row r="265" spans="1:21" x14ac:dyDescent="0.25">
      <c r="A265" s="60">
        <f t="shared" si="22"/>
        <v>238</v>
      </c>
      <c r="B265" s="61">
        <f t="shared" si="23"/>
        <v>50</v>
      </c>
      <c r="C265" s="62" t="s">
        <v>52</v>
      </c>
      <c r="D265" s="62" t="s">
        <v>993</v>
      </c>
      <c r="E265" s="63">
        <f t="shared" si="24"/>
        <v>6374928.6790190004</v>
      </c>
      <c r="F265" s="71"/>
      <c r="G265" s="64">
        <v>3744858.18609</v>
      </c>
      <c r="H265" s="64"/>
      <c r="I265" s="64"/>
      <c r="J265" s="64"/>
      <c r="K265" s="64"/>
      <c r="L265" s="64">
        <v>1311406.8</v>
      </c>
      <c r="M265" s="64">
        <v>0</v>
      </c>
      <c r="N265" s="64"/>
      <c r="O265" s="64"/>
      <c r="P265" s="64"/>
      <c r="Q265" s="64"/>
      <c r="R265" s="64"/>
      <c r="S265" s="65"/>
      <c r="T265" s="66">
        <v>1318663.6929290001</v>
      </c>
      <c r="U265" s="67"/>
    </row>
    <row r="266" spans="1:21" x14ac:dyDescent="0.25">
      <c r="A266" s="60">
        <f t="shared" si="22"/>
        <v>239</v>
      </c>
      <c r="B266" s="61">
        <f t="shared" si="23"/>
        <v>51</v>
      </c>
      <c r="C266" s="62" t="s">
        <v>52</v>
      </c>
      <c r="D266" s="62" t="s">
        <v>992</v>
      </c>
      <c r="E266" s="63">
        <f t="shared" si="24"/>
        <v>4526101.9687000001</v>
      </c>
      <c r="F266" s="64"/>
      <c r="G266" s="64"/>
      <c r="H266" s="64">
        <v>4429243.3865698203</v>
      </c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5"/>
      <c r="T266" s="66">
        <v>96858.582130180002</v>
      </c>
      <c r="U266" s="67"/>
    </row>
    <row r="267" spans="1:21" x14ac:dyDescent="0.25">
      <c r="A267" s="60">
        <f t="shared" si="22"/>
        <v>240</v>
      </c>
      <c r="B267" s="61">
        <f t="shared" si="23"/>
        <v>52</v>
      </c>
      <c r="C267" s="62" t="s">
        <v>52</v>
      </c>
      <c r="D267" s="62" t="s">
        <v>736</v>
      </c>
      <c r="E267" s="88">
        <f t="shared" ref="E267:E273" si="27">SUBTOTAL(9,F267:T267)</f>
        <v>3390546.88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/>
      <c r="L267" s="64"/>
      <c r="M267" s="64">
        <v>0</v>
      </c>
      <c r="N267" s="64">
        <v>3197890.5015539997</v>
      </c>
      <c r="O267" s="64">
        <v>0</v>
      </c>
      <c r="P267" s="64">
        <v>0</v>
      </c>
      <c r="Q267" s="64">
        <v>0</v>
      </c>
      <c r="R267" s="64">
        <v>85155.99</v>
      </c>
      <c r="S267" s="64">
        <f>37569</f>
        <v>37569</v>
      </c>
      <c r="T267" s="66">
        <v>69931.388445999997</v>
      </c>
      <c r="U267" s="67"/>
    </row>
    <row r="268" spans="1:21" x14ac:dyDescent="0.25">
      <c r="A268" s="60">
        <f t="shared" si="22"/>
        <v>241</v>
      </c>
      <c r="B268" s="61">
        <f t="shared" si="23"/>
        <v>53</v>
      </c>
      <c r="C268" s="62" t="s">
        <v>52</v>
      </c>
      <c r="D268" s="62" t="s">
        <v>737</v>
      </c>
      <c r="E268" s="88">
        <f t="shared" si="27"/>
        <v>589567.59499999997</v>
      </c>
      <c r="F268" s="64"/>
      <c r="G268" s="64">
        <v>0</v>
      </c>
      <c r="H268" s="64">
        <v>576950.84846699995</v>
      </c>
      <c r="I268" s="64"/>
      <c r="J268" s="64"/>
      <c r="K268" s="64"/>
      <c r="L268" s="64"/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/>
      <c r="S268" s="65"/>
      <c r="T268" s="66">
        <v>12616.746533000001</v>
      </c>
      <c r="U268" s="67"/>
    </row>
    <row r="269" spans="1:21" x14ac:dyDescent="0.25">
      <c r="A269" s="60">
        <f t="shared" si="22"/>
        <v>242</v>
      </c>
      <c r="B269" s="61">
        <f t="shared" si="23"/>
        <v>54</v>
      </c>
      <c r="C269" s="62" t="s">
        <v>52</v>
      </c>
      <c r="D269" s="62" t="s">
        <v>1073</v>
      </c>
      <c r="E269" s="88">
        <f t="shared" si="27"/>
        <v>510140.45280000003</v>
      </c>
      <c r="F269" s="64"/>
      <c r="G269" s="64">
        <v>0</v>
      </c>
      <c r="H269" s="64">
        <v>499223.44711008004</v>
      </c>
      <c r="I269" s="64"/>
      <c r="J269" s="64"/>
      <c r="K269" s="64"/>
      <c r="L269" s="64"/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/>
      <c r="S269" s="65"/>
      <c r="T269" s="66">
        <v>10917.005689920001</v>
      </c>
      <c r="U269" s="67"/>
    </row>
    <row r="270" spans="1:21" x14ac:dyDescent="0.25">
      <c r="A270" s="60">
        <f t="shared" si="22"/>
        <v>243</v>
      </c>
      <c r="B270" s="61">
        <f t="shared" si="23"/>
        <v>55</v>
      </c>
      <c r="C270" s="62" t="s">
        <v>52</v>
      </c>
      <c r="D270" s="62" t="s">
        <v>738</v>
      </c>
      <c r="E270" s="88">
        <f t="shared" si="27"/>
        <v>468707.47462941997</v>
      </c>
      <c r="F270" s="64"/>
      <c r="G270" s="64"/>
      <c r="H270" s="64">
        <v>460433.23</v>
      </c>
      <c r="I270" s="64">
        <v>0</v>
      </c>
      <c r="J270" s="64">
        <v>0</v>
      </c>
      <c r="K270" s="64"/>
      <c r="L270" s="64"/>
      <c r="M270" s="64"/>
      <c r="N270" s="64"/>
      <c r="O270" s="64"/>
      <c r="P270" s="64"/>
      <c r="Q270" s="64"/>
      <c r="R270" s="64"/>
      <c r="S270" s="65"/>
      <c r="T270" s="66">
        <v>8274.2446294200017</v>
      </c>
      <c r="U270" s="67"/>
    </row>
    <row r="271" spans="1:21" x14ac:dyDescent="0.25">
      <c r="A271" s="60">
        <f t="shared" si="22"/>
        <v>244</v>
      </c>
      <c r="B271" s="61">
        <f t="shared" si="23"/>
        <v>56</v>
      </c>
      <c r="C271" s="62" t="s">
        <v>52</v>
      </c>
      <c r="D271" s="62" t="s">
        <v>1074</v>
      </c>
      <c r="E271" s="88">
        <f t="shared" si="27"/>
        <v>2682867.5192038771</v>
      </c>
      <c r="F271" s="64">
        <v>1551954.26</v>
      </c>
      <c r="G271" s="64">
        <v>0</v>
      </c>
      <c r="H271" s="64">
        <v>437675.74</v>
      </c>
      <c r="I271" s="64">
        <v>462948.67</v>
      </c>
      <c r="J271" s="64">
        <v>0</v>
      </c>
      <c r="K271" s="64"/>
      <c r="L271" s="64">
        <v>186659.45983423694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/>
      <c r="S271" s="65"/>
      <c r="T271" s="66">
        <v>43629.389369639997</v>
      </c>
      <c r="U271" s="67"/>
    </row>
    <row r="272" spans="1:21" x14ac:dyDescent="0.25">
      <c r="A272" s="60">
        <f t="shared" si="22"/>
        <v>245</v>
      </c>
      <c r="B272" s="61">
        <f t="shared" si="23"/>
        <v>57</v>
      </c>
      <c r="C272" s="62" t="s">
        <v>52</v>
      </c>
      <c r="D272" s="62" t="s">
        <v>739</v>
      </c>
      <c r="E272" s="88">
        <f t="shared" si="27"/>
        <v>21536888.215718932</v>
      </c>
      <c r="F272" s="64"/>
      <c r="G272" s="64"/>
      <c r="H272" s="64"/>
      <c r="I272" s="64"/>
      <c r="J272" s="64"/>
      <c r="K272" s="64"/>
      <c r="L272" s="64"/>
      <c r="M272" s="64">
        <v>20793974.399999999</v>
      </c>
      <c r="N272" s="64"/>
      <c r="O272" s="64"/>
      <c r="P272" s="64"/>
      <c r="Q272" s="64"/>
      <c r="R272" s="64">
        <v>263945.2194144</v>
      </c>
      <c r="S272" s="65">
        <v>24000</v>
      </c>
      <c r="T272" s="66">
        <v>454968.59630453185</v>
      </c>
      <c r="U272" s="67"/>
    </row>
    <row r="273" spans="1:21" x14ac:dyDescent="0.25">
      <c r="A273" s="60">
        <f t="shared" si="22"/>
        <v>246</v>
      </c>
      <c r="B273" s="61">
        <f t="shared" si="23"/>
        <v>58</v>
      </c>
      <c r="C273" s="62" t="s">
        <v>52</v>
      </c>
      <c r="D273" s="62" t="s">
        <v>741</v>
      </c>
      <c r="E273" s="88">
        <f t="shared" si="27"/>
        <v>14391493.255421314</v>
      </c>
      <c r="F273" s="64"/>
      <c r="G273" s="64"/>
      <c r="H273" s="64"/>
      <c r="I273" s="64"/>
      <c r="J273" s="64"/>
      <c r="K273" s="64"/>
      <c r="L273" s="64"/>
      <c r="M273" s="64">
        <v>13862649.6</v>
      </c>
      <c r="N273" s="64"/>
      <c r="O273" s="64"/>
      <c r="P273" s="64"/>
      <c r="Q273" s="64"/>
      <c r="R273" s="64">
        <v>202265.31720959998</v>
      </c>
      <c r="S273" s="65">
        <v>24000</v>
      </c>
      <c r="T273" s="66">
        <v>302578.33821171458</v>
      </c>
      <c r="U273" s="67"/>
    </row>
    <row r="274" spans="1:21" x14ac:dyDescent="0.25">
      <c r="A274" s="60">
        <f t="shared" si="22"/>
        <v>247</v>
      </c>
      <c r="B274" s="61">
        <f t="shared" si="23"/>
        <v>59</v>
      </c>
      <c r="C274" s="62" t="s">
        <v>52</v>
      </c>
      <c r="D274" s="62" t="s">
        <v>742</v>
      </c>
      <c r="E274" s="88">
        <f t="shared" ref="E274" si="28">SUBTOTAL(9,F274:T274)</f>
        <v>25498364.259147439</v>
      </c>
      <c r="F274" s="64"/>
      <c r="G274" s="64">
        <v>4892953.0885143364</v>
      </c>
      <c r="H274" s="64">
        <v>5159278.8563651238</v>
      </c>
      <c r="I274" s="64">
        <v>3303637.3136041779</v>
      </c>
      <c r="J274" s="64"/>
      <c r="K274" s="64"/>
      <c r="L274" s="64"/>
      <c r="M274" s="64">
        <v>0</v>
      </c>
      <c r="N274" s="64">
        <v>11343089.619999999</v>
      </c>
      <c r="O274" s="64">
        <v>0</v>
      </c>
      <c r="P274" s="64">
        <v>0</v>
      </c>
      <c r="Q274" s="64">
        <v>0</v>
      </c>
      <c r="R274" s="64">
        <v>596430.70650000009</v>
      </c>
      <c r="S274" s="64">
        <v>24992.426500000001</v>
      </c>
      <c r="T274" s="66">
        <v>177982.24766380002</v>
      </c>
      <c r="U274" s="67"/>
    </row>
    <row r="275" spans="1:21" x14ac:dyDescent="0.25">
      <c r="A275" s="60">
        <f t="shared" si="22"/>
        <v>248</v>
      </c>
      <c r="B275" s="61">
        <f t="shared" si="23"/>
        <v>60</v>
      </c>
      <c r="C275" s="62" t="s">
        <v>52</v>
      </c>
      <c r="D275" s="62" t="s">
        <v>708</v>
      </c>
      <c r="E275" s="63">
        <f t="shared" si="24"/>
        <v>6788793.2927659061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/>
      <c r="L275" s="64"/>
      <c r="M275" s="64">
        <v>0</v>
      </c>
      <c r="N275" s="64">
        <v>6256586.6600000001</v>
      </c>
      <c r="O275" s="64">
        <v>0</v>
      </c>
      <c r="P275" s="64">
        <v>0</v>
      </c>
      <c r="Q275" s="64">
        <v>0</v>
      </c>
      <c r="R275" s="64">
        <v>144246.84530748578</v>
      </c>
      <c r="S275" s="64">
        <f>41549</f>
        <v>41549</v>
      </c>
      <c r="T275" s="66">
        <v>346410.7874584198</v>
      </c>
      <c r="U275" s="67"/>
    </row>
    <row r="276" spans="1:21" s="74" customFormat="1" x14ac:dyDescent="0.25">
      <c r="A276" s="60">
        <f t="shared" si="22"/>
        <v>249</v>
      </c>
      <c r="B276" s="61">
        <f t="shared" si="23"/>
        <v>61</v>
      </c>
      <c r="C276" s="62" t="s">
        <v>52</v>
      </c>
      <c r="D276" s="62" t="s">
        <v>709</v>
      </c>
      <c r="E276" s="63">
        <f t="shared" ref="E276:E356" si="29">SUBTOTAL(9,F276:T276)</f>
        <v>3508963.12</v>
      </c>
      <c r="F276" s="63">
        <v>3508963.12</v>
      </c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90"/>
      <c r="U276" s="67"/>
    </row>
    <row r="277" spans="1:21" x14ac:dyDescent="0.25">
      <c r="A277" s="60">
        <f t="shared" si="22"/>
        <v>250</v>
      </c>
      <c r="B277" s="61">
        <f t="shared" si="23"/>
        <v>62</v>
      </c>
      <c r="C277" s="62" t="s">
        <v>52</v>
      </c>
      <c r="D277" s="62" t="s">
        <v>687</v>
      </c>
      <c r="E277" s="88">
        <f>SUBTOTAL(9,F277:T277)</f>
        <v>23964589.432865944</v>
      </c>
      <c r="F277" s="64">
        <v>6033410.3300000001</v>
      </c>
      <c r="G277" s="64">
        <v>2116717.1923795803</v>
      </c>
      <c r="H277" s="64">
        <v>2211498.4827243001</v>
      </c>
      <c r="I277" s="64">
        <v>2020165.83</v>
      </c>
      <c r="J277" s="64"/>
      <c r="K277" s="64"/>
      <c r="L277" s="64">
        <v>227939.55009504</v>
      </c>
      <c r="M277" s="64">
        <v>0</v>
      </c>
      <c r="N277" s="64">
        <v>10859485.412210401</v>
      </c>
      <c r="O277" s="64">
        <v>0</v>
      </c>
      <c r="P277" s="64">
        <v>0</v>
      </c>
      <c r="Q277" s="64">
        <v>0</v>
      </c>
      <c r="R277" s="64"/>
      <c r="S277" s="65"/>
      <c r="T277" s="66">
        <v>495372.63545662002</v>
      </c>
      <c r="U277" s="67"/>
    </row>
    <row r="278" spans="1:21" x14ac:dyDescent="0.25">
      <c r="A278" s="60">
        <f t="shared" si="22"/>
        <v>251</v>
      </c>
      <c r="B278" s="61">
        <f t="shared" si="23"/>
        <v>63</v>
      </c>
      <c r="C278" s="62" t="s">
        <v>52</v>
      </c>
      <c r="D278" s="62" t="s">
        <v>688</v>
      </c>
      <c r="E278" s="63">
        <f t="shared" si="29"/>
        <v>3280945.5871758135</v>
      </c>
      <c r="F278" s="64">
        <v>3199919.31</v>
      </c>
      <c r="G278" s="64"/>
      <c r="H278" s="64"/>
      <c r="I278" s="64"/>
      <c r="J278" s="64"/>
      <c r="K278" s="64"/>
      <c r="L278" s="64"/>
      <c r="M278" s="64"/>
      <c r="N278" s="64"/>
      <c r="O278" s="64">
        <v>0</v>
      </c>
      <c r="P278" s="64">
        <v>0</v>
      </c>
      <c r="Q278" s="64">
        <v>0</v>
      </c>
      <c r="R278" s="64"/>
      <c r="S278" s="65"/>
      <c r="T278" s="66">
        <v>81026.277175813244</v>
      </c>
      <c r="U278" s="67"/>
    </row>
    <row r="279" spans="1:21" x14ac:dyDescent="0.25">
      <c r="A279" s="60">
        <f t="shared" si="22"/>
        <v>252</v>
      </c>
      <c r="B279" s="61">
        <f t="shared" si="23"/>
        <v>64</v>
      </c>
      <c r="C279" s="62" t="s">
        <v>52</v>
      </c>
      <c r="D279" s="62" t="s">
        <v>689</v>
      </c>
      <c r="E279" s="63">
        <f t="shared" si="29"/>
        <v>1079116.94161744</v>
      </c>
      <c r="F279" s="72"/>
      <c r="G279" s="72"/>
      <c r="H279" s="72"/>
      <c r="I279" s="64"/>
      <c r="J279" s="64">
        <v>869774.96</v>
      </c>
      <c r="K279" s="64"/>
      <c r="L279" s="64"/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/>
      <c r="S279" s="65"/>
      <c r="T279" s="66">
        <v>209341.98161743997</v>
      </c>
      <c r="U279" s="67"/>
    </row>
    <row r="280" spans="1:21" x14ac:dyDescent="0.25">
      <c r="A280" s="60">
        <f t="shared" si="22"/>
        <v>253</v>
      </c>
      <c r="B280" s="61">
        <f t="shared" si="23"/>
        <v>65</v>
      </c>
      <c r="C280" s="62" t="s">
        <v>52</v>
      </c>
      <c r="D280" s="62" t="s">
        <v>683</v>
      </c>
      <c r="E280" s="63">
        <f t="shared" si="29"/>
        <v>5422423.3145060008</v>
      </c>
      <c r="F280" s="64"/>
      <c r="G280" s="64">
        <v>2634178.6800000002</v>
      </c>
      <c r="H280" s="64">
        <v>1620199.79</v>
      </c>
      <c r="I280" s="71"/>
      <c r="J280" s="64"/>
      <c r="K280" s="64"/>
      <c r="L280" s="64"/>
      <c r="M280" s="64">
        <v>0</v>
      </c>
      <c r="N280" s="64"/>
      <c r="O280" s="64"/>
      <c r="P280" s="64"/>
      <c r="Q280" s="64"/>
      <c r="R280" s="64"/>
      <c r="S280" s="64"/>
      <c r="T280" s="66">
        <v>1168044.8445060002</v>
      </c>
      <c r="U280" s="67"/>
    </row>
    <row r="281" spans="1:21" x14ac:dyDescent="0.25">
      <c r="A281" s="60">
        <f t="shared" si="22"/>
        <v>254</v>
      </c>
      <c r="B281" s="61">
        <f t="shared" si="23"/>
        <v>66</v>
      </c>
      <c r="C281" s="62" t="s">
        <v>52</v>
      </c>
      <c r="D281" s="62" t="s">
        <v>1075</v>
      </c>
      <c r="E281" s="88">
        <f>SUBTOTAL(9,F281:T281)</f>
        <v>4184287.1891999999</v>
      </c>
      <c r="F281" s="64"/>
      <c r="G281" s="64"/>
      <c r="H281" s="64">
        <v>615427.84556945995</v>
      </c>
      <c r="I281" s="64"/>
      <c r="J281" s="64">
        <v>0</v>
      </c>
      <c r="K281" s="64"/>
      <c r="L281" s="64"/>
      <c r="M281" s="64">
        <v>0</v>
      </c>
      <c r="N281" s="64"/>
      <c r="O281" s="64">
        <v>0</v>
      </c>
      <c r="P281" s="64">
        <v>3479315.59778166</v>
      </c>
      <c r="Q281" s="64"/>
      <c r="R281" s="64"/>
      <c r="S281" s="65"/>
      <c r="T281" s="66">
        <v>89543.745848880018</v>
      </c>
      <c r="U281" s="67"/>
    </row>
    <row r="282" spans="1:21" x14ac:dyDescent="0.25">
      <c r="A282" s="60">
        <f t="shared" ref="A282:A345" si="30">+A281+1</f>
        <v>255</v>
      </c>
      <c r="B282" s="61">
        <f t="shared" ref="B282:B345" si="31">+B281+1</f>
        <v>67</v>
      </c>
      <c r="C282" s="62" t="s">
        <v>52</v>
      </c>
      <c r="D282" s="62" t="s">
        <v>1014</v>
      </c>
      <c r="E282" s="63">
        <f t="shared" si="29"/>
        <v>46997238.988224618</v>
      </c>
      <c r="F282" s="64">
        <v>4565506.9600000009</v>
      </c>
      <c r="G282" s="64">
        <v>0</v>
      </c>
      <c r="H282" s="64">
        <v>1227624.8600000001</v>
      </c>
      <c r="I282" s="64"/>
      <c r="J282" s="64">
        <v>0</v>
      </c>
      <c r="K282" s="64"/>
      <c r="L282" s="64"/>
      <c r="M282" s="64">
        <v>0</v>
      </c>
      <c r="N282" s="64"/>
      <c r="O282" s="64">
        <v>0</v>
      </c>
      <c r="P282" s="64">
        <v>40313035.834008001</v>
      </c>
      <c r="Q282" s="64">
        <v>0</v>
      </c>
      <c r="R282" s="64"/>
      <c r="S282" s="65"/>
      <c r="T282" s="66">
        <v>891071.33421662007</v>
      </c>
      <c r="U282" s="67"/>
    </row>
    <row r="283" spans="1:21" x14ac:dyDescent="0.25">
      <c r="A283" s="60">
        <f t="shared" si="30"/>
        <v>256</v>
      </c>
      <c r="B283" s="61">
        <f t="shared" si="31"/>
        <v>68</v>
      </c>
      <c r="C283" s="62" t="s">
        <v>52</v>
      </c>
      <c r="D283" s="62" t="s">
        <v>1015</v>
      </c>
      <c r="E283" s="63">
        <f t="shared" si="29"/>
        <v>8572865.9774930608</v>
      </c>
      <c r="F283" s="64">
        <v>3795804.42</v>
      </c>
      <c r="G283" s="64">
        <v>0</v>
      </c>
      <c r="H283" s="64">
        <v>1815463.98</v>
      </c>
      <c r="I283" s="64">
        <v>2422165.88</v>
      </c>
      <c r="J283" s="64">
        <v>0</v>
      </c>
      <c r="K283" s="64"/>
      <c r="L283" s="64"/>
      <c r="M283" s="64">
        <v>0</v>
      </c>
      <c r="N283" s="64"/>
      <c r="O283" s="64">
        <v>0</v>
      </c>
      <c r="P283" s="64"/>
      <c r="Q283" s="64">
        <v>0</v>
      </c>
      <c r="R283" s="64"/>
      <c r="S283" s="65"/>
      <c r="T283" s="66">
        <v>539431.69749306003</v>
      </c>
      <c r="U283" s="67"/>
    </row>
    <row r="284" spans="1:21" x14ac:dyDescent="0.25">
      <c r="A284" s="60">
        <f t="shared" si="30"/>
        <v>257</v>
      </c>
      <c r="B284" s="61">
        <f t="shared" si="31"/>
        <v>69</v>
      </c>
      <c r="C284" s="62" t="s">
        <v>52</v>
      </c>
      <c r="D284" s="62" t="s">
        <v>1016</v>
      </c>
      <c r="E284" s="63">
        <f t="shared" si="29"/>
        <v>12616576.755879181</v>
      </c>
      <c r="F284" s="64">
        <v>4667209.49</v>
      </c>
      <c r="G284" s="64">
        <v>0</v>
      </c>
      <c r="H284" s="64">
        <v>2134044.9699999997</v>
      </c>
      <c r="I284" s="64">
        <v>2451411.64</v>
      </c>
      <c r="J284" s="64"/>
      <c r="K284" s="64"/>
      <c r="L284" s="64"/>
      <c r="M284" s="64">
        <v>0</v>
      </c>
      <c r="N284" s="64"/>
      <c r="O284" s="64">
        <v>0</v>
      </c>
      <c r="P284" s="64"/>
      <c r="Q284" s="64">
        <v>0</v>
      </c>
      <c r="R284" s="64">
        <v>2550189.8570000003</v>
      </c>
      <c r="S284" s="65">
        <v>278424.56929999997</v>
      </c>
      <c r="T284" s="66">
        <v>535296.22957918001</v>
      </c>
      <c r="U284" s="67"/>
    </row>
    <row r="285" spans="1:21" x14ac:dyDescent="0.25">
      <c r="A285" s="60">
        <f t="shared" si="30"/>
        <v>258</v>
      </c>
      <c r="B285" s="61">
        <f t="shared" si="31"/>
        <v>70</v>
      </c>
      <c r="C285" s="62" t="s">
        <v>52</v>
      </c>
      <c r="D285" s="62" t="s">
        <v>690</v>
      </c>
      <c r="E285" s="63">
        <f t="shared" si="29"/>
        <v>7552741.9318827204</v>
      </c>
      <c r="F285" s="64">
        <v>3308322.58</v>
      </c>
      <c r="G285" s="64">
        <v>2035764.2</v>
      </c>
      <c r="H285" s="64">
        <v>882116.62</v>
      </c>
      <c r="I285" s="64">
        <v>903642.16</v>
      </c>
      <c r="J285" s="64">
        <v>0</v>
      </c>
      <c r="K285" s="64"/>
      <c r="L285" s="64"/>
      <c r="M285" s="64">
        <v>0</v>
      </c>
      <c r="N285" s="64">
        <v>0</v>
      </c>
      <c r="O285" s="64">
        <v>0</v>
      </c>
      <c r="P285" s="64"/>
      <c r="Q285" s="64">
        <v>0</v>
      </c>
      <c r="R285" s="64"/>
      <c r="S285" s="65"/>
      <c r="T285" s="66">
        <v>422896.37188271998</v>
      </c>
      <c r="U285" s="67"/>
    </row>
    <row r="286" spans="1:21" x14ac:dyDescent="0.25">
      <c r="A286" s="60">
        <f t="shared" si="30"/>
        <v>259</v>
      </c>
      <c r="B286" s="61">
        <f t="shared" si="31"/>
        <v>71</v>
      </c>
      <c r="C286" s="62" t="s">
        <v>52</v>
      </c>
      <c r="D286" s="62" t="s">
        <v>743</v>
      </c>
      <c r="E286" s="88">
        <f>SUBTOTAL(9,F286:T286)</f>
        <v>41280460.663762331</v>
      </c>
      <c r="F286" s="64">
        <v>0</v>
      </c>
      <c r="G286" s="64">
        <v>0</v>
      </c>
      <c r="H286" s="64">
        <v>0</v>
      </c>
      <c r="I286" s="64">
        <v>1287686.2794724151</v>
      </c>
      <c r="J286" s="64">
        <v>0</v>
      </c>
      <c r="K286" s="64"/>
      <c r="L286" s="64">
        <v>0</v>
      </c>
      <c r="M286" s="64"/>
      <c r="N286" s="64">
        <v>14859752.82211503</v>
      </c>
      <c r="O286" s="64">
        <v>0</v>
      </c>
      <c r="P286" s="64">
        <v>12356333.508192455</v>
      </c>
      <c r="Q286" s="64">
        <v>11615526.323241811</v>
      </c>
      <c r="R286" s="64">
        <v>215153.97</v>
      </c>
      <c r="S286" s="64">
        <f>65657.7097212739</f>
        <v>65657.709721273903</v>
      </c>
      <c r="T286" s="66">
        <v>880350.0510193489</v>
      </c>
      <c r="U286" s="67"/>
    </row>
    <row r="287" spans="1:21" x14ac:dyDescent="0.25">
      <c r="A287" s="60">
        <f t="shared" si="30"/>
        <v>260</v>
      </c>
      <c r="B287" s="61">
        <f t="shared" si="31"/>
        <v>72</v>
      </c>
      <c r="C287" s="62" t="s">
        <v>52</v>
      </c>
      <c r="D287" s="62" t="s">
        <v>710</v>
      </c>
      <c r="E287" s="63">
        <f t="shared" si="29"/>
        <v>1069515.91491576</v>
      </c>
      <c r="F287" s="64">
        <v>0</v>
      </c>
      <c r="G287" s="64">
        <v>0</v>
      </c>
      <c r="H287" s="64">
        <v>0</v>
      </c>
      <c r="I287" s="64">
        <v>0</v>
      </c>
      <c r="J287" s="64">
        <v>1043888.04</v>
      </c>
      <c r="K287" s="64"/>
      <c r="L287" s="64"/>
      <c r="M287" s="64">
        <v>0</v>
      </c>
      <c r="N287" s="64">
        <v>0</v>
      </c>
      <c r="O287" s="64">
        <v>0</v>
      </c>
      <c r="P287" s="64">
        <v>0</v>
      </c>
      <c r="Q287" s="64">
        <v>0</v>
      </c>
      <c r="R287" s="64"/>
      <c r="S287" s="65"/>
      <c r="T287" s="66">
        <v>25627.874915760007</v>
      </c>
      <c r="U287" s="67"/>
    </row>
    <row r="288" spans="1:21" x14ac:dyDescent="0.25">
      <c r="A288" s="60">
        <f t="shared" si="30"/>
        <v>261</v>
      </c>
      <c r="B288" s="61">
        <f t="shared" si="31"/>
        <v>73</v>
      </c>
      <c r="C288" s="62" t="s">
        <v>52</v>
      </c>
      <c r="D288" s="62" t="s">
        <v>745</v>
      </c>
      <c r="E288" s="88">
        <f>SUBTOTAL(9,F288:T288)</f>
        <v>3255744.9401735002</v>
      </c>
      <c r="F288" s="64">
        <v>0</v>
      </c>
      <c r="G288" s="64"/>
      <c r="H288" s="64">
        <v>3206255.39</v>
      </c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5"/>
      <c r="T288" s="66">
        <v>49489.550173499993</v>
      </c>
      <c r="U288" s="67"/>
    </row>
    <row r="289" spans="1:21" x14ac:dyDescent="0.25">
      <c r="A289" s="60">
        <f t="shared" si="30"/>
        <v>262</v>
      </c>
      <c r="B289" s="61">
        <f t="shared" si="31"/>
        <v>74</v>
      </c>
      <c r="C289" s="62" t="s">
        <v>52</v>
      </c>
      <c r="D289" s="62" t="s">
        <v>711</v>
      </c>
      <c r="E289" s="63">
        <f t="shared" si="29"/>
        <v>1137882.68042862</v>
      </c>
      <c r="F289" s="64">
        <v>0</v>
      </c>
      <c r="G289" s="64">
        <v>0</v>
      </c>
      <c r="H289" s="64">
        <v>0</v>
      </c>
      <c r="I289" s="64">
        <v>0</v>
      </c>
      <c r="J289" s="64">
        <v>1112510.52</v>
      </c>
      <c r="K289" s="64"/>
      <c r="L289" s="64"/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/>
      <c r="S289" s="65"/>
      <c r="T289" s="66">
        <v>25372.160428620005</v>
      </c>
      <c r="U289" s="67"/>
    </row>
    <row r="290" spans="1:21" x14ac:dyDescent="0.25">
      <c r="A290" s="60">
        <f t="shared" si="30"/>
        <v>263</v>
      </c>
      <c r="B290" s="61">
        <f t="shared" si="31"/>
        <v>75</v>
      </c>
      <c r="C290" s="62" t="s">
        <v>52</v>
      </c>
      <c r="D290" s="62" t="s">
        <v>1076</v>
      </c>
      <c r="E290" s="63">
        <f t="shared" si="29"/>
        <v>1319013.2964199998</v>
      </c>
      <c r="F290" s="64">
        <v>0</v>
      </c>
      <c r="G290" s="64">
        <v>0</v>
      </c>
      <c r="H290" s="64">
        <v>0</v>
      </c>
      <c r="I290" s="64">
        <v>0</v>
      </c>
      <c r="J290" s="64">
        <v>1314097.3999999999</v>
      </c>
      <c r="K290" s="64"/>
      <c r="L290" s="64"/>
      <c r="M290" s="64">
        <v>0</v>
      </c>
      <c r="N290" s="64">
        <v>0</v>
      </c>
      <c r="O290" s="64">
        <v>0</v>
      </c>
      <c r="P290" s="64">
        <v>0</v>
      </c>
      <c r="Q290" s="64"/>
      <c r="R290" s="64"/>
      <c r="S290" s="65"/>
      <c r="T290" s="66">
        <v>4915.89642</v>
      </c>
      <c r="U290" s="67"/>
    </row>
    <row r="291" spans="1:21" x14ac:dyDescent="0.25">
      <c r="A291" s="60">
        <f t="shared" si="30"/>
        <v>264</v>
      </c>
      <c r="B291" s="61">
        <f t="shared" si="31"/>
        <v>76</v>
      </c>
      <c r="C291" s="62" t="s">
        <v>52</v>
      </c>
      <c r="D291" s="62" t="s">
        <v>712</v>
      </c>
      <c r="E291" s="63">
        <f t="shared" si="29"/>
        <v>5459436.29</v>
      </c>
      <c r="F291" s="64"/>
      <c r="G291" s="64">
        <v>5131838.1197179221</v>
      </c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>
        <v>191375.2643328</v>
      </c>
      <c r="S291" s="65">
        <v>24000</v>
      </c>
      <c r="T291" s="66">
        <v>112222.90594927808</v>
      </c>
      <c r="U291" s="67"/>
    </row>
    <row r="292" spans="1:21" x14ac:dyDescent="0.25">
      <c r="A292" s="60">
        <f t="shared" si="30"/>
        <v>265</v>
      </c>
      <c r="B292" s="61">
        <f t="shared" si="31"/>
        <v>77</v>
      </c>
      <c r="C292" s="62" t="s">
        <v>52</v>
      </c>
      <c r="D292" s="62" t="s">
        <v>713</v>
      </c>
      <c r="E292" s="63">
        <f t="shared" si="29"/>
        <v>3841382.1100000003</v>
      </c>
      <c r="F292" s="64"/>
      <c r="G292" s="64">
        <v>3569615.4462360675</v>
      </c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>
        <v>169706.40364800001</v>
      </c>
      <c r="S292" s="65">
        <v>24000</v>
      </c>
      <c r="T292" s="66">
        <v>78060.26011593279</v>
      </c>
      <c r="U292" s="67"/>
    </row>
    <row r="293" spans="1:21" x14ac:dyDescent="0.25">
      <c r="A293" s="60">
        <f t="shared" si="30"/>
        <v>266</v>
      </c>
      <c r="B293" s="61">
        <f t="shared" si="31"/>
        <v>78</v>
      </c>
      <c r="C293" s="62" t="s">
        <v>52</v>
      </c>
      <c r="D293" s="62" t="s">
        <v>746</v>
      </c>
      <c r="E293" s="88">
        <f t="shared" si="29"/>
        <v>7316631.4718352174</v>
      </c>
      <c r="F293" s="64"/>
      <c r="G293" s="64"/>
      <c r="H293" s="64">
        <v>1175152.5274663931</v>
      </c>
      <c r="I293" s="64"/>
      <c r="J293" s="64"/>
      <c r="K293" s="64"/>
      <c r="L293" s="64"/>
      <c r="M293" s="64">
        <v>0</v>
      </c>
      <c r="N293" s="64">
        <v>5747272.2854321953</v>
      </c>
      <c r="O293" s="64">
        <v>0</v>
      </c>
      <c r="P293" s="64"/>
      <c r="Q293" s="64"/>
      <c r="R293" s="64"/>
      <c r="S293" s="65"/>
      <c r="T293" s="66">
        <v>394206.65893662942</v>
      </c>
      <c r="U293" s="67"/>
    </row>
    <row r="294" spans="1:21" x14ac:dyDescent="0.25">
      <c r="A294" s="60">
        <f t="shared" si="30"/>
        <v>267</v>
      </c>
      <c r="B294" s="61">
        <f t="shared" si="31"/>
        <v>79</v>
      </c>
      <c r="C294" s="62" t="s">
        <v>52</v>
      </c>
      <c r="D294" s="62" t="s">
        <v>714</v>
      </c>
      <c r="E294" s="63">
        <f t="shared" si="29"/>
        <v>13560327.751967881</v>
      </c>
      <c r="F294" s="64">
        <v>0</v>
      </c>
      <c r="G294" s="64">
        <v>0</v>
      </c>
      <c r="H294" s="64">
        <v>0</v>
      </c>
      <c r="I294" s="64">
        <v>0</v>
      </c>
      <c r="J294" s="64">
        <v>1990543.04</v>
      </c>
      <c r="K294" s="64"/>
      <c r="L294" s="64"/>
      <c r="M294" s="64">
        <v>0</v>
      </c>
      <c r="N294" s="64">
        <v>0</v>
      </c>
      <c r="O294" s="64">
        <v>0</v>
      </c>
      <c r="P294" s="64"/>
      <c r="Q294" s="64">
        <v>11561490.38701188</v>
      </c>
      <c r="R294" s="64"/>
      <c r="S294" s="65"/>
      <c r="T294" s="66">
        <v>8294.3249559999986</v>
      </c>
      <c r="U294" s="67"/>
    </row>
    <row r="295" spans="1:21" x14ac:dyDescent="0.25">
      <c r="A295" s="60">
        <f t="shared" si="30"/>
        <v>268</v>
      </c>
      <c r="B295" s="61">
        <f t="shared" si="31"/>
        <v>80</v>
      </c>
      <c r="C295" s="62" t="s">
        <v>52</v>
      </c>
      <c r="D295" s="62" t="s">
        <v>1077</v>
      </c>
      <c r="E295" s="88">
        <f>SUBTOTAL(9,F295:T295)</f>
        <v>48200635.318056263</v>
      </c>
      <c r="F295" s="64">
        <v>12121082.414478905</v>
      </c>
      <c r="G295" s="64">
        <v>4380765.675573769</v>
      </c>
      <c r="H295" s="64">
        <v>4601142.9003424933</v>
      </c>
      <c r="I295" s="64">
        <v>2961095.0258614775</v>
      </c>
      <c r="J295" s="64">
        <v>0</v>
      </c>
      <c r="K295" s="64"/>
      <c r="L295" s="64">
        <v>424957.37324978667</v>
      </c>
      <c r="M295" s="64"/>
      <c r="N295" s="64">
        <v>22433958.735577341</v>
      </c>
      <c r="O295" s="64">
        <v>0</v>
      </c>
      <c r="P295" s="64">
        <v>0</v>
      </c>
      <c r="Q295" s="64">
        <v>0</v>
      </c>
      <c r="R295" s="64">
        <v>223091.04581957759</v>
      </c>
      <c r="S295" s="65">
        <v>28431.125819577603</v>
      </c>
      <c r="T295" s="66">
        <v>1026111.021333326</v>
      </c>
      <c r="U295" s="67"/>
    </row>
    <row r="296" spans="1:21" x14ac:dyDescent="0.25">
      <c r="A296" s="60">
        <f t="shared" si="30"/>
        <v>269</v>
      </c>
      <c r="B296" s="61">
        <f t="shared" si="31"/>
        <v>81</v>
      </c>
      <c r="C296" s="62" t="s">
        <v>52</v>
      </c>
      <c r="D296" s="62" t="s">
        <v>748</v>
      </c>
      <c r="E296" s="88">
        <f t="shared" ref="E296" si="32">SUBTOTAL(9,F296:T296)</f>
        <v>33486355.040817708</v>
      </c>
      <c r="F296" s="64">
        <v>8643306.5260717943</v>
      </c>
      <c r="G296" s="64">
        <v>3051788.9179595588</v>
      </c>
      <c r="H296" s="64">
        <v>3312688.9008027716</v>
      </c>
      <c r="I296" s="64"/>
      <c r="J296" s="64"/>
      <c r="K296" s="64"/>
      <c r="L296" s="64">
        <v>312733.52125871408</v>
      </c>
      <c r="M296" s="64">
        <v>0</v>
      </c>
      <c r="N296" s="64">
        <v>16148584.35262032</v>
      </c>
      <c r="O296" s="64">
        <v>0</v>
      </c>
      <c r="P296" s="64">
        <v>0</v>
      </c>
      <c r="Q296" s="64">
        <v>0</v>
      </c>
      <c r="R296" s="64">
        <v>1231638.8674678032</v>
      </c>
      <c r="S296" s="65">
        <v>24000</v>
      </c>
      <c r="T296" s="66">
        <v>761613.95463674469</v>
      </c>
      <c r="U296" s="67"/>
    </row>
    <row r="297" spans="1:21" x14ac:dyDescent="0.25">
      <c r="A297" s="60">
        <f t="shared" si="30"/>
        <v>270</v>
      </c>
      <c r="B297" s="61">
        <f t="shared" si="31"/>
        <v>82</v>
      </c>
      <c r="C297" s="62" t="s">
        <v>52</v>
      </c>
      <c r="D297" s="62" t="s">
        <v>1078</v>
      </c>
      <c r="E297" s="63">
        <f t="shared" si="29"/>
        <v>27926494.23849884</v>
      </c>
      <c r="F297" s="64">
        <v>8202360.1409184821</v>
      </c>
      <c r="G297" s="64">
        <v>3191095.72</v>
      </c>
      <c r="H297" s="64">
        <v>3053714.1501469188</v>
      </c>
      <c r="I297" s="64">
        <v>2949494.6598</v>
      </c>
      <c r="J297" s="64"/>
      <c r="K297" s="64"/>
      <c r="L297" s="64">
        <v>314730.64776761638</v>
      </c>
      <c r="M297" s="64">
        <v>0</v>
      </c>
      <c r="N297" s="64">
        <v>0</v>
      </c>
      <c r="O297" s="64">
        <v>0</v>
      </c>
      <c r="P297" s="64">
        <v>0</v>
      </c>
      <c r="Q297" s="64">
        <v>8970854.4000000004</v>
      </c>
      <c r="R297" s="64">
        <v>964186.81700000004</v>
      </c>
      <c r="S297" s="65">
        <v>96418.681700000001</v>
      </c>
      <c r="T297" s="66">
        <v>183639.02116581998</v>
      </c>
      <c r="U297" s="67"/>
    </row>
    <row r="298" spans="1:21" x14ac:dyDescent="0.25">
      <c r="A298" s="60">
        <f t="shared" si="30"/>
        <v>271</v>
      </c>
      <c r="B298" s="61">
        <f t="shared" si="31"/>
        <v>83</v>
      </c>
      <c r="C298" s="62" t="s">
        <v>52</v>
      </c>
      <c r="D298" s="62" t="s">
        <v>1018</v>
      </c>
      <c r="E298" s="63">
        <f t="shared" si="29"/>
        <v>12147412.900428798</v>
      </c>
      <c r="F298" s="64"/>
      <c r="G298" s="64">
        <v>5603246.21</v>
      </c>
      <c r="H298" s="64">
        <v>2551720.8199999998</v>
      </c>
      <c r="I298" s="64">
        <v>3180773.21</v>
      </c>
      <c r="J298" s="64"/>
      <c r="K298" s="64"/>
      <c r="L298" s="64"/>
      <c r="M298" s="64">
        <v>0</v>
      </c>
      <c r="N298" s="64">
        <v>0</v>
      </c>
      <c r="O298" s="64">
        <v>0</v>
      </c>
      <c r="P298" s="64">
        <v>0</v>
      </c>
      <c r="Q298" s="64"/>
      <c r="R298" s="64"/>
      <c r="S298" s="65"/>
      <c r="T298" s="66">
        <v>811672.66042880015</v>
      </c>
      <c r="U298" s="67"/>
    </row>
    <row r="299" spans="1:21" x14ac:dyDescent="0.25">
      <c r="A299" s="60">
        <f t="shared" si="30"/>
        <v>272</v>
      </c>
      <c r="B299" s="61">
        <f t="shared" si="31"/>
        <v>84</v>
      </c>
      <c r="C299" s="62" t="s">
        <v>52</v>
      </c>
      <c r="D299" s="62" t="s">
        <v>1079</v>
      </c>
      <c r="E299" s="63">
        <f t="shared" si="29"/>
        <v>2005001.28</v>
      </c>
      <c r="F299" s="64">
        <v>0</v>
      </c>
      <c r="G299" s="64">
        <v>0</v>
      </c>
      <c r="H299" s="64">
        <v>0</v>
      </c>
      <c r="I299" s="64">
        <v>0</v>
      </c>
      <c r="J299" s="64">
        <v>1990601.96</v>
      </c>
      <c r="K299" s="64"/>
      <c r="L299" s="64"/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/>
      <c r="S299" s="65"/>
      <c r="T299" s="66">
        <v>14399.32</v>
      </c>
      <c r="U299" s="67"/>
    </row>
    <row r="300" spans="1:21" x14ac:dyDescent="0.25">
      <c r="A300" s="60">
        <f t="shared" si="30"/>
        <v>273</v>
      </c>
      <c r="B300" s="61">
        <f t="shared" si="31"/>
        <v>85</v>
      </c>
      <c r="C300" s="62" t="s">
        <v>52</v>
      </c>
      <c r="D300" s="62" t="s">
        <v>1019</v>
      </c>
      <c r="E300" s="63">
        <f t="shared" si="29"/>
        <v>1363080.4118900001</v>
      </c>
      <c r="F300" s="64">
        <v>0</v>
      </c>
      <c r="G300" s="64">
        <v>0</v>
      </c>
      <c r="H300" s="64">
        <v>0</v>
      </c>
      <c r="I300" s="64">
        <v>0</v>
      </c>
      <c r="J300" s="64">
        <v>1356671.24</v>
      </c>
      <c r="K300" s="64"/>
      <c r="L300" s="64"/>
      <c r="M300" s="64">
        <v>0</v>
      </c>
      <c r="N300" s="64">
        <v>0</v>
      </c>
      <c r="O300" s="64">
        <v>0</v>
      </c>
      <c r="P300" s="64"/>
      <c r="Q300" s="64">
        <v>0</v>
      </c>
      <c r="R300" s="64"/>
      <c r="S300" s="65"/>
      <c r="T300" s="66">
        <v>6409.1718899999996</v>
      </c>
      <c r="U300" s="67"/>
    </row>
    <row r="301" spans="1:21" x14ac:dyDescent="0.25">
      <c r="A301" s="60">
        <f t="shared" si="30"/>
        <v>274</v>
      </c>
      <c r="B301" s="61">
        <f t="shared" si="31"/>
        <v>86</v>
      </c>
      <c r="C301" s="62" t="s">
        <v>52</v>
      </c>
      <c r="D301" s="62" t="s">
        <v>1080</v>
      </c>
      <c r="E301" s="88">
        <f>SUBTOTAL(9,F301:T301)</f>
        <v>18654436.314541005</v>
      </c>
      <c r="F301" s="64">
        <v>9020010.4696379993</v>
      </c>
      <c r="G301" s="64">
        <v>3057898.49</v>
      </c>
      <c r="H301" s="64">
        <v>3412556.6672820002</v>
      </c>
      <c r="I301" s="64">
        <v>2178472.4900000002</v>
      </c>
      <c r="J301" s="64"/>
      <c r="K301" s="64"/>
      <c r="L301" s="64">
        <v>324068.03834999999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239862.84749999997</v>
      </c>
      <c r="S301" s="64">
        <f>24000</f>
        <v>24000</v>
      </c>
      <c r="T301" s="66">
        <v>397567.31177100004</v>
      </c>
      <c r="U301" s="67"/>
    </row>
    <row r="302" spans="1:21" x14ac:dyDescent="0.25">
      <c r="A302" s="60">
        <f t="shared" si="30"/>
        <v>275</v>
      </c>
      <c r="B302" s="61">
        <f t="shared" si="31"/>
        <v>87</v>
      </c>
      <c r="C302" s="62" t="s">
        <v>52</v>
      </c>
      <c r="D302" s="62" t="s">
        <v>1022</v>
      </c>
      <c r="E302" s="88">
        <f>SUBTOTAL(9,F302:T302)</f>
        <v>20234536.945299998</v>
      </c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>
        <v>19801517.854670577</v>
      </c>
      <c r="Q302" s="64">
        <v>0</v>
      </c>
      <c r="R302" s="64"/>
      <c r="S302" s="64"/>
      <c r="T302" s="66">
        <v>433019.09062942001</v>
      </c>
      <c r="U302" s="67"/>
    </row>
    <row r="303" spans="1:21" x14ac:dyDescent="0.25">
      <c r="A303" s="60">
        <f t="shared" si="30"/>
        <v>276</v>
      </c>
      <c r="B303" s="61">
        <f t="shared" si="31"/>
        <v>88</v>
      </c>
      <c r="C303" s="62" t="s">
        <v>52</v>
      </c>
      <c r="D303" s="62" t="s">
        <v>1081</v>
      </c>
      <c r="E303" s="63">
        <f t="shared" si="29"/>
        <v>7294260.8670106996</v>
      </c>
      <c r="F303" s="64">
        <v>5775011.7999999998</v>
      </c>
      <c r="G303" s="64">
        <v>0</v>
      </c>
      <c r="H303" s="64">
        <v>0</v>
      </c>
      <c r="I303" s="64">
        <v>0</v>
      </c>
      <c r="J303" s="64"/>
      <c r="K303" s="64"/>
      <c r="L303" s="64"/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1233787.3953999998</v>
      </c>
      <c r="S303" s="65">
        <v>100001.5141</v>
      </c>
      <c r="T303" s="66">
        <v>185460.15751070005</v>
      </c>
      <c r="U303" s="67"/>
    </row>
    <row r="304" spans="1:21" x14ac:dyDescent="0.25">
      <c r="A304" s="60">
        <f t="shared" si="30"/>
        <v>277</v>
      </c>
      <c r="B304" s="61">
        <f t="shared" si="31"/>
        <v>89</v>
      </c>
      <c r="C304" s="62" t="s">
        <v>52</v>
      </c>
      <c r="D304" s="62" t="s">
        <v>1082</v>
      </c>
      <c r="E304" s="63">
        <f t="shared" si="29"/>
        <v>9382540.3126575109</v>
      </c>
      <c r="F304" s="64">
        <v>0</v>
      </c>
      <c r="G304" s="64">
        <v>2812958.6787006906</v>
      </c>
      <c r="H304" s="64">
        <v>4438837.1277801599</v>
      </c>
      <c r="I304" s="64"/>
      <c r="J304" s="64">
        <v>1471946.54</v>
      </c>
      <c r="K304" s="64"/>
      <c r="L304" s="64"/>
      <c r="M304" s="64">
        <v>0</v>
      </c>
      <c r="N304" s="64">
        <v>0</v>
      </c>
      <c r="O304" s="64">
        <v>0</v>
      </c>
      <c r="P304" s="64"/>
      <c r="Q304" s="64">
        <v>0</v>
      </c>
      <c r="R304" s="64"/>
      <c r="S304" s="65"/>
      <c r="T304" s="66">
        <f>555416.30026576+103381.6659109</f>
        <v>658797.96617666003</v>
      </c>
      <c r="U304" s="67"/>
    </row>
    <row r="305" spans="1:21" x14ac:dyDescent="0.25">
      <c r="A305" s="60">
        <f t="shared" si="30"/>
        <v>278</v>
      </c>
      <c r="B305" s="61">
        <f t="shared" si="31"/>
        <v>90</v>
      </c>
      <c r="C305" s="62" t="s">
        <v>52</v>
      </c>
      <c r="D305" s="62" t="s">
        <v>1024</v>
      </c>
      <c r="E305" s="88">
        <f>SUBTOTAL(9,F305:T305)</f>
        <v>25343583.591800001</v>
      </c>
      <c r="F305" s="64"/>
      <c r="G305" s="64"/>
      <c r="H305" s="64"/>
      <c r="I305" s="64"/>
      <c r="J305" s="64"/>
      <c r="K305" s="64"/>
      <c r="L305" s="64"/>
      <c r="M305" s="64">
        <v>0</v>
      </c>
      <c r="N305" s="64"/>
      <c r="O305" s="64">
        <v>0</v>
      </c>
      <c r="P305" s="64">
        <v>24801230.902935479</v>
      </c>
      <c r="Q305" s="64"/>
      <c r="R305" s="64"/>
      <c r="S305" s="65"/>
      <c r="T305" s="66">
        <v>542352.68886452005</v>
      </c>
      <c r="U305" s="67"/>
    </row>
    <row r="306" spans="1:21" x14ac:dyDescent="0.25">
      <c r="A306" s="60">
        <f t="shared" si="30"/>
        <v>279</v>
      </c>
      <c r="B306" s="61">
        <f t="shared" si="31"/>
        <v>91</v>
      </c>
      <c r="C306" s="62" t="s">
        <v>52</v>
      </c>
      <c r="D306" s="62" t="s">
        <v>1025</v>
      </c>
      <c r="E306" s="63">
        <f t="shared" si="29"/>
        <v>53766872.192556664</v>
      </c>
      <c r="F306" s="64"/>
      <c r="G306" s="64"/>
      <c r="H306" s="91">
        <v>4113294.16</v>
      </c>
      <c r="I306" s="64"/>
      <c r="J306" s="64"/>
      <c r="K306" s="64"/>
      <c r="L306" s="64"/>
      <c r="M306" s="64">
        <v>0</v>
      </c>
      <c r="N306" s="64"/>
      <c r="O306" s="64">
        <v>0</v>
      </c>
      <c r="P306" s="64">
        <v>35601534.275782861</v>
      </c>
      <c r="Q306" s="64">
        <v>13661056.57</v>
      </c>
      <c r="R306" s="64"/>
      <c r="S306" s="65"/>
      <c r="T306" s="66">
        <v>390987.18677379994</v>
      </c>
      <c r="U306" s="67"/>
    </row>
    <row r="307" spans="1:21" x14ac:dyDescent="0.25">
      <c r="A307" s="60">
        <f t="shared" si="30"/>
        <v>280</v>
      </c>
      <c r="B307" s="61">
        <f t="shared" si="31"/>
        <v>92</v>
      </c>
      <c r="C307" s="62" t="s">
        <v>52</v>
      </c>
      <c r="D307" s="62" t="s">
        <v>236</v>
      </c>
      <c r="E307" s="63">
        <f t="shared" si="29"/>
        <v>5450997.3955120007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/>
      <c r="L307" s="64"/>
      <c r="M307" s="64">
        <v>0</v>
      </c>
      <c r="N307" s="64">
        <v>0</v>
      </c>
      <c r="O307" s="64">
        <v>0</v>
      </c>
      <c r="P307" s="64">
        <v>0</v>
      </c>
      <c r="Q307" s="64">
        <v>4977661</v>
      </c>
      <c r="R307" s="64">
        <v>155875.03</v>
      </c>
      <c r="S307" s="64">
        <f>47496.79</f>
        <v>47496.79</v>
      </c>
      <c r="T307" s="66">
        <v>269964.57551200007</v>
      </c>
      <c r="U307" s="67"/>
    </row>
    <row r="308" spans="1:21" x14ac:dyDescent="0.25">
      <c r="A308" s="60">
        <f t="shared" si="30"/>
        <v>281</v>
      </c>
      <c r="B308" s="61">
        <f t="shared" si="31"/>
        <v>93</v>
      </c>
      <c r="C308" s="62" t="s">
        <v>52</v>
      </c>
      <c r="D308" s="62" t="s">
        <v>750</v>
      </c>
      <c r="E308" s="88">
        <f>SUBTOTAL(9,F308:T308)</f>
        <v>51520579.943774581</v>
      </c>
      <c r="F308" s="64">
        <v>10832940.95979899</v>
      </c>
      <c r="G308" s="64">
        <v>0</v>
      </c>
      <c r="H308" s="64">
        <v>4033071.5218924792</v>
      </c>
      <c r="I308" s="64">
        <v>0</v>
      </c>
      <c r="J308" s="64">
        <v>0</v>
      </c>
      <c r="K308" s="64"/>
      <c r="L308" s="64">
        <v>415667.98664415837</v>
      </c>
      <c r="M308" s="64">
        <v>0</v>
      </c>
      <c r="N308" s="64">
        <v>19804228.847171031</v>
      </c>
      <c r="O308" s="64">
        <v>0</v>
      </c>
      <c r="P308" s="64">
        <v>10282453.061145633</v>
      </c>
      <c r="Q308" s="64">
        <v>0</v>
      </c>
      <c r="R308" s="64">
        <v>4644897.5689717317</v>
      </c>
      <c r="S308" s="65">
        <v>515205.79943774588</v>
      </c>
      <c r="T308" s="66">
        <v>992114.19871281344</v>
      </c>
      <c r="U308" s="67"/>
    </row>
    <row r="309" spans="1:21" x14ac:dyDescent="0.25">
      <c r="A309" s="60">
        <f t="shared" si="30"/>
        <v>282</v>
      </c>
      <c r="B309" s="61">
        <f t="shared" si="31"/>
        <v>94</v>
      </c>
      <c r="C309" s="62" t="s">
        <v>52</v>
      </c>
      <c r="D309" s="62" t="s">
        <v>693</v>
      </c>
      <c r="E309" s="88">
        <f>SUBTOTAL(9,F309:T309)</f>
        <v>4577622.6536000008</v>
      </c>
      <c r="F309" s="64">
        <v>0</v>
      </c>
      <c r="G309" s="64">
        <v>0</v>
      </c>
      <c r="H309" s="64">
        <v>4479661.5288129607</v>
      </c>
      <c r="I309" s="64">
        <v>0</v>
      </c>
      <c r="J309" s="64">
        <v>0</v>
      </c>
      <c r="K309" s="64"/>
      <c r="L309" s="64"/>
      <c r="M309" s="64">
        <v>0</v>
      </c>
      <c r="N309" s="64"/>
      <c r="O309" s="64"/>
      <c r="P309" s="64"/>
      <c r="Q309" s="64">
        <v>0</v>
      </c>
      <c r="R309" s="64"/>
      <c r="S309" s="65"/>
      <c r="T309" s="66">
        <v>97961.124787040011</v>
      </c>
      <c r="U309" s="67"/>
    </row>
    <row r="310" spans="1:21" x14ac:dyDescent="0.25">
      <c r="A310" s="60">
        <f t="shared" si="30"/>
        <v>283</v>
      </c>
      <c r="B310" s="61">
        <f t="shared" si="31"/>
        <v>95</v>
      </c>
      <c r="C310" s="62" t="s">
        <v>52</v>
      </c>
      <c r="D310" s="62" t="s">
        <v>237</v>
      </c>
      <c r="E310" s="63">
        <f t="shared" si="29"/>
        <v>14557148.33536532</v>
      </c>
      <c r="F310" s="64">
        <v>6546503.21</v>
      </c>
      <c r="G310" s="64">
        <v>2315850.2599999998</v>
      </c>
      <c r="H310" s="64"/>
      <c r="I310" s="64"/>
      <c r="J310" s="64"/>
      <c r="K310" s="64"/>
      <c r="L310" s="64"/>
      <c r="M310" s="64"/>
      <c r="N310" s="64">
        <v>5556548.1200000001</v>
      </c>
      <c r="O310" s="64">
        <v>0</v>
      </c>
      <c r="P310" s="64">
        <v>0</v>
      </c>
      <c r="Q310" s="64">
        <v>0</v>
      </c>
      <c r="R310" s="64"/>
      <c r="S310" s="65"/>
      <c r="T310" s="66">
        <v>138246.74536532001</v>
      </c>
      <c r="U310" s="67"/>
    </row>
    <row r="311" spans="1:21" x14ac:dyDescent="0.25">
      <c r="A311" s="60">
        <f t="shared" si="30"/>
        <v>284</v>
      </c>
      <c r="B311" s="61">
        <f t="shared" si="31"/>
        <v>96</v>
      </c>
      <c r="C311" s="62" t="s">
        <v>52</v>
      </c>
      <c r="D311" s="62" t="s">
        <v>752</v>
      </c>
      <c r="E311" s="88">
        <f>SUBTOTAL(9,F311:T311)</f>
        <v>3922392.2040869799</v>
      </c>
      <c r="F311" s="64">
        <v>0</v>
      </c>
      <c r="G311" s="64">
        <v>0</v>
      </c>
      <c r="H311" s="64">
        <v>3846154.33</v>
      </c>
      <c r="I311" s="64">
        <v>0</v>
      </c>
      <c r="J311" s="64">
        <v>0</v>
      </c>
      <c r="K311" s="64"/>
      <c r="L311" s="64"/>
      <c r="M311" s="64">
        <v>0</v>
      </c>
      <c r="N311" s="64">
        <v>0</v>
      </c>
      <c r="O311" s="64">
        <v>0</v>
      </c>
      <c r="P311" s="64"/>
      <c r="Q311" s="64">
        <v>0</v>
      </c>
      <c r="R311" s="64"/>
      <c r="S311" s="65"/>
      <c r="T311" s="66">
        <v>76237.874086980009</v>
      </c>
      <c r="U311" s="67"/>
    </row>
    <row r="312" spans="1:21" x14ac:dyDescent="0.25">
      <c r="A312" s="60">
        <f t="shared" si="30"/>
        <v>285</v>
      </c>
      <c r="B312" s="61">
        <f t="shared" si="31"/>
        <v>97</v>
      </c>
      <c r="C312" s="62" t="s">
        <v>52</v>
      </c>
      <c r="D312" s="62" t="s">
        <v>548</v>
      </c>
      <c r="E312" s="63">
        <f t="shared" si="29"/>
        <v>17355621.362</v>
      </c>
      <c r="F312" s="64">
        <v>8773415.9399999995</v>
      </c>
      <c r="G312" s="64"/>
      <c r="H312" s="89">
        <v>3892363.59</v>
      </c>
      <c r="I312" s="89">
        <v>4001179.24</v>
      </c>
      <c r="J312" s="64"/>
      <c r="K312" s="64"/>
      <c r="L312" s="64"/>
      <c r="M312" s="64"/>
      <c r="N312" s="64"/>
      <c r="O312" s="64"/>
      <c r="P312" s="64"/>
      <c r="Q312" s="64"/>
      <c r="R312" s="64">
        <v>128556.376</v>
      </c>
      <c r="S312" s="65">
        <v>23378.916000000001</v>
      </c>
      <c r="T312" s="66">
        <v>536727.30000000005</v>
      </c>
      <c r="U312" s="67"/>
    </row>
    <row r="313" spans="1:21" x14ac:dyDescent="0.25">
      <c r="A313" s="60">
        <f t="shared" si="30"/>
        <v>286</v>
      </c>
      <c r="B313" s="61">
        <f t="shared" si="31"/>
        <v>98</v>
      </c>
      <c r="C313" s="62" t="s">
        <v>52</v>
      </c>
      <c r="D313" s="62" t="s">
        <v>715</v>
      </c>
      <c r="E313" s="63">
        <f t="shared" si="29"/>
        <v>20567022.492345843</v>
      </c>
      <c r="F313" s="64"/>
      <c r="G313" s="64"/>
      <c r="H313" s="64"/>
      <c r="I313" s="64"/>
      <c r="J313" s="64"/>
      <c r="K313" s="64"/>
      <c r="L313" s="64">
        <v>0</v>
      </c>
      <c r="M313" s="64">
        <v>0</v>
      </c>
      <c r="N313" s="64">
        <v>12209113.6236846</v>
      </c>
      <c r="O313" s="64">
        <v>0</v>
      </c>
      <c r="P313" s="64"/>
      <c r="Q313" s="64">
        <v>6818312.1307106828</v>
      </c>
      <c r="R313" s="64">
        <v>684163.08</v>
      </c>
      <c r="S313" s="64"/>
      <c r="T313" s="66">
        <v>855433.65795056196</v>
      </c>
      <c r="U313" s="67"/>
    </row>
    <row r="314" spans="1:21" x14ac:dyDescent="0.25">
      <c r="A314" s="60">
        <f t="shared" si="30"/>
        <v>287</v>
      </c>
      <c r="B314" s="61">
        <f t="shared" si="31"/>
        <v>99</v>
      </c>
      <c r="C314" s="62" t="s">
        <v>52</v>
      </c>
      <c r="D314" s="62" t="s">
        <v>716</v>
      </c>
      <c r="E314" s="63">
        <f t="shared" si="29"/>
        <v>19817837.824958891</v>
      </c>
      <c r="F314" s="64"/>
      <c r="G314" s="64"/>
      <c r="H314" s="64"/>
      <c r="I314" s="64"/>
      <c r="J314" s="64"/>
      <c r="K314" s="64"/>
      <c r="L314" s="64">
        <v>0</v>
      </c>
      <c r="M314" s="64">
        <v>0</v>
      </c>
      <c r="N314" s="64">
        <v>12089519.128083602</v>
      </c>
      <c r="O314" s="64">
        <v>0</v>
      </c>
      <c r="P314" s="64"/>
      <c r="Q314" s="64">
        <v>6201109.93202837</v>
      </c>
      <c r="R314" s="92">
        <v>678947.08</v>
      </c>
      <c r="S314" s="64"/>
      <c r="T314" s="66">
        <v>848261.6848469231</v>
      </c>
      <c r="U314" s="67"/>
    </row>
    <row r="315" spans="1:21" x14ac:dyDescent="0.25">
      <c r="A315" s="60">
        <f t="shared" si="30"/>
        <v>288</v>
      </c>
      <c r="B315" s="61">
        <f t="shared" si="31"/>
        <v>100</v>
      </c>
      <c r="C315" s="62" t="s">
        <v>52</v>
      </c>
      <c r="D315" s="62" t="s">
        <v>694</v>
      </c>
      <c r="E315" s="88">
        <f>SUBTOTAL(9,F315:T315)</f>
        <v>5232438.4238859992</v>
      </c>
      <c r="F315" s="64">
        <v>0</v>
      </c>
      <c r="G315" s="64">
        <v>0</v>
      </c>
      <c r="H315" s="64">
        <v>5108867.6053762194</v>
      </c>
      <c r="I315" s="64">
        <v>0</v>
      </c>
      <c r="J315" s="64"/>
      <c r="K315" s="64"/>
      <c r="L315" s="64"/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/>
      <c r="S315" s="65"/>
      <c r="T315" s="66">
        <v>123570.81850978</v>
      </c>
      <c r="U315" s="67"/>
    </row>
    <row r="316" spans="1:21" x14ac:dyDescent="0.25">
      <c r="A316" s="60">
        <f t="shared" si="30"/>
        <v>289</v>
      </c>
      <c r="B316" s="61">
        <f t="shared" si="31"/>
        <v>101</v>
      </c>
      <c r="C316" s="62" t="s">
        <v>52</v>
      </c>
      <c r="D316" s="62" t="s">
        <v>717</v>
      </c>
      <c r="E316" s="63">
        <f t="shared" si="29"/>
        <v>51364810.400115289</v>
      </c>
      <c r="F316" s="64">
        <v>6144729.9015154075</v>
      </c>
      <c r="G316" s="64">
        <v>3579457.7618007269</v>
      </c>
      <c r="H316" s="64">
        <v>3887139.10374681</v>
      </c>
      <c r="I316" s="64">
        <v>2975701.9584087268</v>
      </c>
      <c r="J316" s="64">
        <v>1375468.2230831808</v>
      </c>
      <c r="K316" s="64"/>
      <c r="L316" s="64">
        <v>292698.95808608586</v>
      </c>
      <c r="M316" s="64"/>
      <c r="N316" s="64"/>
      <c r="O316" s="64"/>
      <c r="P316" s="64">
        <v>22115449.1287481</v>
      </c>
      <c r="Q316" s="64">
        <v>8607388.0582517814</v>
      </c>
      <c r="R316" s="64">
        <v>1315726.9200000002</v>
      </c>
      <c r="S316" s="65"/>
      <c r="T316" s="66">
        <v>1071050.3864744671</v>
      </c>
      <c r="U316" s="67"/>
    </row>
    <row r="317" spans="1:21" x14ac:dyDescent="0.25">
      <c r="A317" s="60">
        <f t="shared" si="30"/>
        <v>290</v>
      </c>
      <c r="B317" s="61">
        <f t="shared" si="31"/>
        <v>102</v>
      </c>
      <c r="C317" s="62" t="s">
        <v>52</v>
      </c>
      <c r="D317" s="62" t="s">
        <v>1083</v>
      </c>
      <c r="E317" s="63">
        <f t="shared" si="29"/>
        <v>1361469.02</v>
      </c>
      <c r="F317" s="64">
        <v>0</v>
      </c>
      <c r="G317" s="64">
        <v>0</v>
      </c>
      <c r="H317" s="64">
        <v>0</v>
      </c>
      <c r="I317" s="64">
        <v>0</v>
      </c>
      <c r="J317" s="64">
        <v>1350771.93</v>
      </c>
      <c r="K317" s="64"/>
      <c r="L317" s="64"/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/>
      <c r="S317" s="65"/>
      <c r="T317" s="66">
        <v>10697.09</v>
      </c>
      <c r="U317" s="67"/>
    </row>
    <row r="318" spans="1:21" x14ac:dyDescent="0.25">
      <c r="A318" s="60">
        <f t="shared" si="30"/>
        <v>291</v>
      </c>
      <c r="B318" s="61">
        <f t="shared" si="31"/>
        <v>103</v>
      </c>
      <c r="C318" s="62" t="s">
        <v>52</v>
      </c>
      <c r="D318" s="62" t="s">
        <v>1084</v>
      </c>
      <c r="E318" s="88">
        <f t="shared" si="29"/>
        <v>16249506.894575898</v>
      </c>
      <c r="F318" s="64">
        <v>0</v>
      </c>
      <c r="G318" s="64">
        <v>0</v>
      </c>
      <c r="H318" s="64">
        <v>0</v>
      </c>
      <c r="I318" s="64">
        <v>0</v>
      </c>
      <c r="J318" s="64"/>
      <c r="K318" s="64"/>
      <c r="L318" s="64"/>
      <c r="M318" s="64">
        <v>0</v>
      </c>
      <c r="N318" s="64">
        <v>0</v>
      </c>
      <c r="O318" s="64">
        <v>0</v>
      </c>
      <c r="P318" s="64">
        <v>0</v>
      </c>
      <c r="Q318" s="64">
        <v>13564306.146929998</v>
      </c>
      <c r="R318" s="64">
        <v>2208962.0269999998</v>
      </c>
      <c r="S318" s="64">
        <v>167867.1545</v>
      </c>
      <c r="T318" s="66">
        <v>308371.56614590005</v>
      </c>
      <c r="U318" s="67"/>
    </row>
    <row r="319" spans="1:21" x14ac:dyDescent="0.25">
      <c r="A319" s="60">
        <f t="shared" si="30"/>
        <v>292</v>
      </c>
      <c r="B319" s="61">
        <f t="shared" si="31"/>
        <v>104</v>
      </c>
      <c r="C319" s="62" t="s">
        <v>52</v>
      </c>
      <c r="D319" s="62" t="s">
        <v>718</v>
      </c>
      <c r="E319" s="63">
        <f t="shared" si="29"/>
        <v>4002892.3932919996</v>
      </c>
      <c r="F319" s="62">
        <v>0</v>
      </c>
      <c r="G319" s="62">
        <v>0</v>
      </c>
      <c r="H319" s="62">
        <v>0</v>
      </c>
      <c r="I319" s="62">
        <v>0</v>
      </c>
      <c r="J319" s="62">
        <v>0</v>
      </c>
      <c r="K319" s="62"/>
      <c r="L319" s="62"/>
      <c r="M319" s="62">
        <v>0</v>
      </c>
      <c r="N319" s="62">
        <v>3263979.76</v>
      </c>
      <c r="O319" s="62">
        <v>0</v>
      </c>
      <c r="P319" s="62">
        <v>0</v>
      </c>
      <c r="Q319" s="62">
        <v>0</v>
      </c>
      <c r="R319" s="64">
        <v>414638.11</v>
      </c>
      <c r="S319" s="62">
        <v>24000</v>
      </c>
      <c r="T319" s="93">
        <v>300274.52329200006</v>
      </c>
      <c r="U319" s="67"/>
    </row>
    <row r="320" spans="1:21" x14ac:dyDescent="0.25">
      <c r="A320" s="60">
        <f t="shared" si="30"/>
        <v>293</v>
      </c>
      <c r="B320" s="61">
        <f t="shared" si="31"/>
        <v>105</v>
      </c>
      <c r="C320" s="62" t="s">
        <v>52</v>
      </c>
      <c r="D320" s="62" t="s">
        <v>719</v>
      </c>
      <c r="E320" s="63">
        <f t="shared" si="29"/>
        <v>102691975.73966673</v>
      </c>
      <c r="F320" s="64">
        <v>12940969.379562</v>
      </c>
      <c r="G320" s="64">
        <v>4683661.9785479996</v>
      </c>
      <c r="H320" s="64">
        <v>2990319.15</v>
      </c>
      <c r="I320" s="64">
        <v>3967819.86</v>
      </c>
      <c r="J320" s="64"/>
      <c r="K320" s="64"/>
      <c r="L320" s="64">
        <v>453343.1808108</v>
      </c>
      <c r="M320" s="64">
        <v>0</v>
      </c>
      <c r="N320" s="64">
        <v>23720691.238029338</v>
      </c>
      <c r="O320" s="64">
        <v>0</v>
      </c>
      <c r="P320" s="94">
        <v>38023511.409999996</v>
      </c>
      <c r="Q320" s="64">
        <v>13351798.375892486</v>
      </c>
      <c r="R320" s="64">
        <v>872137.55</v>
      </c>
      <c r="S320" s="65"/>
      <c r="T320" s="66">
        <v>1687723.6168241003</v>
      </c>
      <c r="U320" s="67"/>
    </row>
    <row r="321" spans="1:21" x14ac:dyDescent="0.25">
      <c r="A321" s="60">
        <f t="shared" si="30"/>
        <v>294</v>
      </c>
      <c r="B321" s="61">
        <f t="shared" si="31"/>
        <v>106</v>
      </c>
      <c r="C321" s="62" t="s">
        <v>52</v>
      </c>
      <c r="D321" s="62" t="s">
        <v>1085</v>
      </c>
      <c r="E321" s="63">
        <f t="shared" si="29"/>
        <v>16236012.829954</v>
      </c>
      <c r="F321" s="64">
        <v>9211045.8918660004</v>
      </c>
      <c r="G321" s="64"/>
      <c r="H321" s="64">
        <v>3408090.02</v>
      </c>
      <c r="I321" s="64">
        <v>2646922.3199999998</v>
      </c>
      <c r="J321" s="64"/>
      <c r="K321" s="64"/>
      <c r="L321" s="64">
        <v>418375.75401383999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93758.837799999994</v>
      </c>
      <c r="S321" s="65">
        <v>22362.497800000001</v>
      </c>
      <c r="T321" s="66">
        <v>435457.50847415999</v>
      </c>
      <c r="U321" s="67"/>
    </row>
    <row r="322" spans="1:21" x14ac:dyDescent="0.25">
      <c r="A322" s="60">
        <f t="shared" si="30"/>
        <v>295</v>
      </c>
      <c r="B322" s="61">
        <f t="shared" si="31"/>
        <v>107</v>
      </c>
      <c r="C322" s="62" t="s">
        <v>52</v>
      </c>
      <c r="D322" s="62" t="s">
        <v>1086</v>
      </c>
      <c r="E322" s="63">
        <f t="shared" si="29"/>
        <v>1394293.8779577501</v>
      </c>
      <c r="F322" s="64"/>
      <c r="G322" s="64"/>
      <c r="H322" s="64">
        <v>0</v>
      </c>
      <c r="I322" s="64">
        <v>0</v>
      </c>
      <c r="J322" s="64">
        <v>974673.41</v>
      </c>
      <c r="K322" s="64"/>
      <c r="L322" s="64"/>
      <c r="M322" s="64">
        <v>0</v>
      </c>
      <c r="N322" s="64"/>
      <c r="O322" s="64">
        <v>0</v>
      </c>
      <c r="P322" s="64">
        <v>0</v>
      </c>
      <c r="Q322" s="64">
        <v>0</v>
      </c>
      <c r="R322" s="64"/>
      <c r="S322" s="65"/>
      <c r="T322" s="66">
        <v>419620.46795774996</v>
      </c>
      <c r="U322" s="67"/>
    </row>
    <row r="323" spans="1:21" x14ac:dyDescent="0.25">
      <c r="A323" s="60">
        <f t="shared" si="30"/>
        <v>296</v>
      </c>
      <c r="B323" s="61">
        <f t="shared" si="31"/>
        <v>108</v>
      </c>
      <c r="C323" s="62" t="s">
        <v>52</v>
      </c>
      <c r="D323" s="62" t="s">
        <v>1032</v>
      </c>
      <c r="E323" s="63">
        <f t="shared" si="29"/>
        <v>16379129.249619205</v>
      </c>
      <c r="F323" s="64">
        <v>0</v>
      </c>
      <c r="G323" s="64"/>
      <c r="H323" s="64"/>
      <c r="I323" s="64">
        <v>4510734.7664399995</v>
      </c>
      <c r="J323" s="64"/>
      <c r="K323" s="64"/>
      <c r="L323" s="64"/>
      <c r="M323" s="64">
        <v>0</v>
      </c>
      <c r="N323" s="64">
        <v>0</v>
      </c>
      <c r="O323" s="64">
        <v>0</v>
      </c>
      <c r="P323" s="64">
        <v>0</v>
      </c>
      <c r="Q323" s="64">
        <v>11240075.836037977</v>
      </c>
      <c r="R323" s="64"/>
      <c r="S323" s="65"/>
      <c r="T323" s="66">
        <v>628318.64714122843</v>
      </c>
      <c r="U323" s="67"/>
    </row>
    <row r="324" spans="1:21" x14ac:dyDescent="0.25">
      <c r="A324" s="60">
        <f t="shared" si="30"/>
        <v>297</v>
      </c>
      <c r="B324" s="61">
        <f t="shared" si="31"/>
        <v>109</v>
      </c>
      <c r="C324" s="62" t="s">
        <v>52</v>
      </c>
      <c r="D324" s="62" t="s">
        <v>1033</v>
      </c>
      <c r="E324" s="63">
        <f t="shared" si="29"/>
        <v>1142240.9043090399</v>
      </c>
      <c r="F324" s="64"/>
      <c r="G324" s="64"/>
      <c r="H324" s="64">
        <v>902758.42</v>
      </c>
      <c r="I324" s="64"/>
      <c r="J324" s="64"/>
      <c r="K324" s="64"/>
      <c r="L324" s="64"/>
      <c r="M324" s="64">
        <v>0</v>
      </c>
      <c r="N324" s="64"/>
      <c r="O324" s="64">
        <v>0</v>
      </c>
      <c r="P324" s="64">
        <v>0</v>
      </c>
      <c r="Q324" s="64">
        <v>0</v>
      </c>
      <c r="R324" s="64"/>
      <c r="S324" s="65"/>
      <c r="T324" s="66">
        <v>239482.48430904001</v>
      </c>
      <c r="U324" s="67"/>
    </row>
    <row r="325" spans="1:21" x14ac:dyDescent="0.25">
      <c r="A325" s="60">
        <f t="shared" si="30"/>
        <v>298</v>
      </c>
      <c r="B325" s="61">
        <f t="shared" si="31"/>
        <v>110</v>
      </c>
      <c r="C325" s="62" t="s">
        <v>52</v>
      </c>
      <c r="D325" s="62" t="s">
        <v>1087</v>
      </c>
      <c r="E325" s="88">
        <f>SUBTOTAL(9,F325:T325)</f>
        <v>2757402.0645933794</v>
      </c>
      <c r="F325" s="64">
        <v>0</v>
      </c>
      <c r="G325" s="64">
        <v>2429379.13</v>
      </c>
      <c r="H325" s="64">
        <v>0</v>
      </c>
      <c r="I325" s="64">
        <v>0</v>
      </c>
      <c r="J325" s="64"/>
      <c r="K325" s="64"/>
      <c r="L325" s="64"/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254190.70299999998</v>
      </c>
      <c r="S325" s="64">
        <f>25419.0703</f>
        <v>25419.070299999999</v>
      </c>
      <c r="T325" s="66">
        <v>48413.161293379999</v>
      </c>
      <c r="U325" s="67"/>
    </row>
    <row r="326" spans="1:21" x14ac:dyDescent="0.25">
      <c r="A326" s="60">
        <f t="shared" si="30"/>
        <v>299</v>
      </c>
      <c r="B326" s="61">
        <f t="shared" si="31"/>
        <v>111</v>
      </c>
      <c r="C326" s="62" t="s">
        <v>52</v>
      </c>
      <c r="D326" s="62" t="s">
        <v>1034</v>
      </c>
      <c r="E326" s="63">
        <f t="shared" si="29"/>
        <v>1447716.48246928</v>
      </c>
      <c r="F326" s="64"/>
      <c r="G326" s="64">
        <v>773824.99</v>
      </c>
      <c r="H326" s="64"/>
      <c r="I326" s="64">
        <v>492005.51</v>
      </c>
      <c r="J326" s="64"/>
      <c r="K326" s="64"/>
      <c r="L326" s="64"/>
      <c r="M326" s="64">
        <v>0</v>
      </c>
      <c r="N326" s="64"/>
      <c r="O326" s="64">
        <v>0</v>
      </c>
      <c r="P326" s="64">
        <v>0</v>
      </c>
      <c r="Q326" s="64">
        <v>0</v>
      </c>
      <c r="R326" s="64"/>
      <c r="S326" s="65"/>
      <c r="T326" s="66">
        <v>181885.98246928002</v>
      </c>
      <c r="U326" s="67"/>
    </row>
    <row r="327" spans="1:21" x14ac:dyDescent="0.25">
      <c r="A327" s="60">
        <f t="shared" si="30"/>
        <v>300</v>
      </c>
      <c r="B327" s="61">
        <f t="shared" si="31"/>
        <v>112</v>
      </c>
      <c r="C327" s="62" t="s">
        <v>52</v>
      </c>
      <c r="D327" s="62" t="s">
        <v>1088</v>
      </c>
      <c r="E327" s="88">
        <f t="shared" si="29"/>
        <v>13115247.401463766</v>
      </c>
      <c r="F327" s="64">
        <v>4525107.225966936</v>
      </c>
      <c r="G327" s="64">
        <v>2796445.9111580672</v>
      </c>
      <c r="H327" s="64">
        <v>1312542.3519563093</v>
      </c>
      <c r="I327" s="64">
        <v>1144056.1189434747</v>
      </c>
      <c r="J327" s="64"/>
      <c r="K327" s="64"/>
      <c r="L327" s="64">
        <v>433409.41392000002</v>
      </c>
      <c r="M327" s="64">
        <v>0</v>
      </c>
      <c r="N327" s="64"/>
      <c r="O327" s="64">
        <v>0</v>
      </c>
      <c r="P327" s="64">
        <v>0</v>
      </c>
      <c r="Q327" s="64">
        <v>0</v>
      </c>
      <c r="R327" s="64">
        <v>2193617.8228000002</v>
      </c>
      <c r="S327" s="64">
        <v>242740.96649999998</v>
      </c>
      <c r="T327" s="66">
        <v>467327.59021898004</v>
      </c>
      <c r="U327" s="67"/>
    </row>
    <row r="328" spans="1:21" x14ac:dyDescent="0.25">
      <c r="A328" s="60">
        <f t="shared" si="30"/>
        <v>301</v>
      </c>
      <c r="B328" s="61">
        <f t="shared" si="31"/>
        <v>113</v>
      </c>
      <c r="C328" s="62" t="s">
        <v>52</v>
      </c>
      <c r="D328" s="62" t="s">
        <v>759</v>
      </c>
      <c r="E328" s="88">
        <f>SUBTOTAL(9,F328:T328)</f>
        <v>14412979.637864092</v>
      </c>
      <c r="F328" s="64"/>
      <c r="G328" s="64"/>
      <c r="H328" s="64"/>
      <c r="I328" s="64"/>
      <c r="J328" s="64"/>
      <c r="K328" s="64"/>
      <c r="L328" s="64"/>
      <c r="M328" s="64">
        <v>13862649.6</v>
      </c>
      <c r="N328" s="64"/>
      <c r="O328" s="64"/>
      <c r="P328" s="64"/>
      <c r="Q328" s="64"/>
      <c r="R328" s="64">
        <v>224221.56331912189</v>
      </c>
      <c r="S328" s="65">
        <v>24000</v>
      </c>
      <c r="T328" s="66">
        <v>302108.47454497078</v>
      </c>
      <c r="U328" s="67"/>
    </row>
    <row r="329" spans="1:21" x14ac:dyDescent="0.25">
      <c r="A329" s="60">
        <f t="shared" si="30"/>
        <v>302</v>
      </c>
      <c r="B329" s="61">
        <f t="shared" si="31"/>
        <v>114</v>
      </c>
      <c r="C329" s="62" t="s">
        <v>52</v>
      </c>
      <c r="D329" s="62" t="s">
        <v>696</v>
      </c>
      <c r="E329" s="63">
        <f t="shared" si="29"/>
        <v>1586238.6009006</v>
      </c>
      <c r="F329" s="64"/>
      <c r="G329" s="64">
        <v>1524520.14</v>
      </c>
      <c r="H329" s="64"/>
      <c r="I329" s="64"/>
      <c r="J329" s="64"/>
      <c r="K329" s="64"/>
      <c r="L329" s="64"/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/>
      <c r="S329" s="65"/>
      <c r="T329" s="66">
        <v>61718.46090060001</v>
      </c>
      <c r="U329" s="67"/>
    </row>
    <row r="330" spans="1:21" x14ac:dyDescent="0.25">
      <c r="A330" s="60">
        <f t="shared" si="30"/>
        <v>303</v>
      </c>
      <c r="B330" s="61">
        <f t="shared" si="31"/>
        <v>115</v>
      </c>
      <c r="C330" s="62" t="s">
        <v>52</v>
      </c>
      <c r="D330" s="62" t="s">
        <v>720</v>
      </c>
      <c r="E330" s="63">
        <f t="shared" si="29"/>
        <v>14886688.384542881</v>
      </c>
      <c r="F330" s="64"/>
      <c r="G330" s="64"/>
      <c r="H330" s="64"/>
      <c r="I330" s="64"/>
      <c r="J330" s="64"/>
      <c r="K330" s="64"/>
      <c r="L330" s="64"/>
      <c r="M330" s="64"/>
      <c r="N330" s="64"/>
      <c r="O330" s="64">
        <v>0</v>
      </c>
      <c r="P330" s="64">
        <v>14156807.720000001</v>
      </c>
      <c r="Q330" s="64"/>
      <c r="R330" s="64">
        <v>185105.35</v>
      </c>
      <c r="S330" s="65"/>
      <c r="T330" s="66">
        <v>544775.31454288005</v>
      </c>
      <c r="U330" s="67"/>
    </row>
    <row r="331" spans="1:21" x14ac:dyDescent="0.25">
      <c r="A331" s="60">
        <f t="shared" si="30"/>
        <v>304</v>
      </c>
      <c r="B331" s="61">
        <f t="shared" si="31"/>
        <v>116</v>
      </c>
      <c r="C331" s="62" t="s">
        <v>52</v>
      </c>
      <c r="D331" s="62" t="s">
        <v>1037</v>
      </c>
      <c r="E331" s="63">
        <f t="shared" si="29"/>
        <v>2118372.9759979998</v>
      </c>
      <c r="F331" s="64"/>
      <c r="G331" s="64"/>
      <c r="H331" s="64">
        <v>1824432.9</v>
      </c>
      <c r="I331" s="64"/>
      <c r="J331" s="64"/>
      <c r="K331" s="64"/>
      <c r="L331" s="64"/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/>
      <c r="S331" s="65"/>
      <c r="T331" s="66">
        <v>293940.07599800004</v>
      </c>
      <c r="U331" s="67"/>
    </row>
    <row r="332" spans="1:21" x14ac:dyDescent="0.25">
      <c r="A332" s="60">
        <f t="shared" si="30"/>
        <v>305</v>
      </c>
      <c r="B332" s="61">
        <f t="shared" si="31"/>
        <v>117</v>
      </c>
      <c r="C332" s="62" t="s">
        <v>52</v>
      </c>
      <c r="D332" s="62" t="s">
        <v>721</v>
      </c>
      <c r="E332" s="63">
        <f t="shared" si="29"/>
        <v>15021912.310913509</v>
      </c>
      <c r="F332" s="64"/>
      <c r="G332" s="64">
        <v>1579170.278889101</v>
      </c>
      <c r="H332" s="64">
        <v>1749764.9776173774</v>
      </c>
      <c r="I332" s="64">
        <v>1033837.3260811009</v>
      </c>
      <c r="J332" s="64"/>
      <c r="K332" s="64"/>
      <c r="L332" s="64"/>
      <c r="M332" s="64"/>
      <c r="N332" s="64">
        <v>8595673.1500000004</v>
      </c>
      <c r="O332" s="64"/>
      <c r="P332" s="64"/>
      <c r="Q332" s="64"/>
      <c r="R332" s="64">
        <v>1182055.9529919669</v>
      </c>
      <c r="S332" s="65">
        <v>42185.634482399997</v>
      </c>
      <c r="T332" s="66">
        <v>839224.99085156212</v>
      </c>
      <c r="U332" s="67"/>
    </row>
    <row r="333" spans="1:21" x14ac:dyDescent="0.25">
      <c r="A333" s="60">
        <f t="shared" si="30"/>
        <v>306</v>
      </c>
      <c r="B333" s="61">
        <f t="shared" si="31"/>
        <v>118</v>
      </c>
      <c r="C333" s="62" t="s">
        <v>52</v>
      </c>
      <c r="D333" s="62" t="s">
        <v>697</v>
      </c>
      <c r="E333" s="88">
        <f t="shared" si="29"/>
        <v>30086688.673177116</v>
      </c>
      <c r="F333" s="64">
        <v>5849711.7173237624</v>
      </c>
      <c r="G333" s="64"/>
      <c r="H333" s="64">
        <v>2177830.1779701547</v>
      </c>
      <c r="I333" s="64"/>
      <c r="J333" s="64"/>
      <c r="K333" s="64"/>
      <c r="L333" s="64">
        <v>224457.78122599761</v>
      </c>
      <c r="M333" s="64">
        <v>0</v>
      </c>
      <c r="N333" s="64">
        <v>10694143.905129086</v>
      </c>
      <c r="O333" s="64">
        <v>0</v>
      </c>
      <c r="P333" s="64"/>
      <c r="Q333" s="64">
        <v>5988963.4812416844</v>
      </c>
      <c r="R333" s="64">
        <v>3718496.5709544048</v>
      </c>
      <c r="S333" s="65">
        <v>411105.06146944402</v>
      </c>
      <c r="T333" s="66">
        <v>1021979.9778625823</v>
      </c>
      <c r="U333" s="67"/>
    </row>
    <row r="334" spans="1:21" x14ac:dyDescent="0.25">
      <c r="A334" s="60">
        <f t="shared" si="30"/>
        <v>307</v>
      </c>
      <c r="B334" s="61">
        <f t="shared" si="31"/>
        <v>119</v>
      </c>
      <c r="C334" s="62" t="s">
        <v>52</v>
      </c>
      <c r="D334" s="62" t="s">
        <v>547</v>
      </c>
      <c r="E334" s="63">
        <f t="shared" si="29"/>
        <v>11832476.0305063</v>
      </c>
      <c r="F334" s="64"/>
      <c r="G334" s="64"/>
      <c r="H334" s="64">
        <v>1782159.18</v>
      </c>
      <c r="I334" s="91">
        <v>2245953.7400000002</v>
      </c>
      <c r="J334" s="64"/>
      <c r="K334" s="64"/>
      <c r="L334" s="64"/>
      <c r="M334" s="64"/>
      <c r="N334" s="64"/>
      <c r="O334" s="64"/>
      <c r="P334" s="64"/>
      <c r="Q334" s="64">
        <v>6294505.1200000001</v>
      </c>
      <c r="R334" s="64">
        <v>1065595.152</v>
      </c>
      <c r="S334" s="65">
        <v>110213.54349999999</v>
      </c>
      <c r="T334" s="66">
        <v>334049.29500629997</v>
      </c>
      <c r="U334" s="67"/>
    </row>
    <row r="335" spans="1:21" x14ac:dyDescent="0.25">
      <c r="A335" s="60">
        <f t="shared" si="30"/>
        <v>308</v>
      </c>
      <c r="B335" s="61">
        <f t="shared" si="31"/>
        <v>120</v>
      </c>
      <c r="C335" s="62" t="s">
        <v>52</v>
      </c>
      <c r="D335" s="62" t="s">
        <v>1089</v>
      </c>
      <c r="E335" s="88">
        <f>SUBTOTAL(9,F335:T335)</f>
        <v>7697496.0597745804</v>
      </c>
      <c r="F335" s="64">
        <v>6682552.1900000004</v>
      </c>
      <c r="G335" s="64">
        <v>0</v>
      </c>
      <c r="H335" s="64">
        <v>0</v>
      </c>
      <c r="I335" s="64">
        <v>0</v>
      </c>
      <c r="J335" s="64">
        <v>0</v>
      </c>
      <c r="K335" s="64"/>
      <c r="L335" s="64">
        <v>313091.46726934006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512890.66080000001</v>
      </c>
      <c r="S335" s="65">
        <v>64111.332600000002</v>
      </c>
      <c r="T335" s="66">
        <v>124850.40910523999</v>
      </c>
      <c r="U335" s="67"/>
    </row>
    <row r="336" spans="1:21" x14ac:dyDescent="0.25">
      <c r="A336" s="60">
        <f t="shared" si="30"/>
        <v>309</v>
      </c>
      <c r="B336" s="61">
        <f t="shared" si="31"/>
        <v>121</v>
      </c>
      <c r="C336" s="62" t="s">
        <v>52</v>
      </c>
      <c r="D336" s="62" t="s">
        <v>1090</v>
      </c>
      <c r="E336" s="88">
        <f t="shared" ref="E336" si="33">SUBTOTAL(9,F336:T336)</f>
        <v>11740041.57309347</v>
      </c>
      <c r="F336" s="64">
        <v>3280088.99</v>
      </c>
      <c r="G336" s="64"/>
      <c r="H336" s="64">
        <v>1247962.1000000001</v>
      </c>
      <c r="I336" s="64"/>
      <c r="J336" s="64"/>
      <c r="K336" s="64"/>
      <c r="L336" s="64">
        <v>117081.436122</v>
      </c>
      <c r="M336" s="64">
        <v>0</v>
      </c>
      <c r="N336" s="64">
        <v>6081223.3600000003</v>
      </c>
      <c r="O336" s="64">
        <v>0</v>
      </c>
      <c r="P336" s="64"/>
      <c r="Q336" s="64"/>
      <c r="R336" s="64">
        <v>390060.34770000004</v>
      </c>
      <c r="S336" s="64">
        <v>37971.527699999999</v>
      </c>
      <c r="T336" s="66">
        <v>585653.81157147221</v>
      </c>
      <c r="U336" s="67"/>
    </row>
    <row r="337" spans="1:70" x14ac:dyDescent="0.25">
      <c r="A337" s="60">
        <f t="shared" si="30"/>
        <v>310</v>
      </c>
      <c r="B337" s="61">
        <f t="shared" si="31"/>
        <v>122</v>
      </c>
      <c r="C337" s="62" t="s">
        <v>52</v>
      </c>
      <c r="D337" s="62" t="s">
        <v>722</v>
      </c>
      <c r="E337" s="63">
        <f t="shared" si="29"/>
        <v>1535156.8941092999</v>
      </c>
      <c r="F337" s="64">
        <v>0</v>
      </c>
      <c r="G337" s="64">
        <v>0</v>
      </c>
      <c r="H337" s="64">
        <v>0</v>
      </c>
      <c r="I337" s="64">
        <v>0</v>
      </c>
      <c r="J337" s="64">
        <v>1356649.13</v>
      </c>
      <c r="K337" s="64"/>
      <c r="L337" s="64"/>
      <c r="M337" s="64">
        <v>0</v>
      </c>
      <c r="N337" s="64">
        <v>0</v>
      </c>
      <c r="O337" s="64">
        <v>0</v>
      </c>
      <c r="P337" s="64">
        <v>0</v>
      </c>
      <c r="Q337" s="64"/>
      <c r="R337" s="64"/>
      <c r="S337" s="65"/>
      <c r="T337" s="66">
        <v>178507.76410930001</v>
      </c>
      <c r="U337" s="67"/>
    </row>
    <row r="338" spans="1:70" x14ac:dyDescent="0.25">
      <c r="A338" s="60">
        <f t="shared" si="30"/>
        <v>311</v>
      </c>
      <c r="B338" s="61">
        <f t="shared" si="31"/>
        <v>123</v>
      </c>
      <c r="C338" s="62" t="s">
        <v>52</v>
      </c>
      <c r="D338" s="62" t="s">
        <v>723</v>
      </c>
      <c r="E338" s="63">
        <f t="shared" si="29"/>
        <v>1601588.2380766002</v>
      </c>
      <c r="F338" s="64">
        <v>0</v>
      </c>
      <c r="G338" s="64">
        <v>0</v>
      </c>
      <c r="H338" s="64">
        <v>0</v>
      </c>
      <c r="I338" s="64">
        <v>0</v>
      </c>
      <c r="J338" s="64">
        <v>1421417.84</v>
      </c>
      <c r="K338" s="64"/>
      <c r="L338" s="64"/>
      <c r="M338" s="64">
        <v>0</v>
      </c>
      <c r="N338" s="64">
        <v>0</v>
      </c>
      <c r="O338" s="64">
        <v>0</v>
      </c>
      <c r="P338" s="64">
        <v>0</v>
      </c>
      <c r="Q338" s="64"/>
      <c r="R338" s="64"/>
      <c r="S338" s="65"/>
      <c r="T338" s="66">
        <v>180170.39807660005</v>
      </c>
      <c r="U338" s="67"/>
    </row>
    <row r="339" spans="1:70" x14ac:dyDescent="0.25">
      <c r="A339" s="60">
        <f t="shared" si="30"/>
        <v>312</v>
      </c>
      <c r="B339" s="61">
        <f t="shared" si="31"/>
        <v>124</v>
      </c>
      <c r="C339" s="62" t="s">
        <v>52</v>
      </c>
      <c r="D339" s="62" t="s">
        <v>1091</v>
      </c>
      <c r="E339" s="63">
        <f t="shared" si="29"/>
        <v>1411333.7441760001</v>
      </c>
      <c r="F339" s="64">
        <v>0</v>
      </c>
      <c r="G339" s="64">
        <v>0</v>
      </c>
      <c r="H339" s="64">
        <v>0</v>
      </c>
      <c r="I339" s="64">
        <v>0</v>
      </c>
      <c r="J339" s="64">
        <v>1405107.53</v>
      </c>
      <c r="K339" s="64"/>
      <c r="L339" s="64"/>
      <c r="M339" s="64">
        <v>0</v>
      </c>
      <c r="N339" s="64">
        <v>0</v>
      </c>
      <c r="O339" s="64">
        <v>0</v>
      </c>
      <c r="P339" s="64">
        <v>0</v>
      </c>
      <c r="Q339" s="64"/>
      <c r="R339" s="64"/>
      <c r="S339" s="65"/>
      <c r="T339" s="66">
        <v>6226.2141759999995</v>
      </c>
      <c r="U339" s="67"/>
    </row>
    <row r="340" spans="1:70" x14ac:dyDescent="0.25">
      <c r="A340" s="60">
        <f t="shared" si="30"/>
        <v>313</v>
      </c>
      <c r="B340" s="61">
        <f t="shared" si="31"/>
        <v>125</v>
      </c>
      <c r="C340" s="62" t="s">
        <v>52</v>
      </c>
      <c r="D340" s="62" t="s">
        <v>1092</v>
      </c>
      <c r="E340" s="63">
        <f t="shared" si="29"/>
        <v>1419894.4741760001</v>
      </c>
      <c r="F340" s="64">
        <v>0</v>
      </c>
      <c r="G340" s="64">
        <v>0</v>
      </c>
      <c r="H340" s="64">
        <v>0</v>
      </c>
      <c r="I340" s="64">
        <v>0</v>
      </c>
      <c r="J340" s="64">
        <v>1413665.12</v>
      </c>
      <c r="K340" s="64"/>
      <c r="L340" s="64"/>
      <c r="M340" s="64">
        <v>0</v>
      </c>
      <c r="N340" s="64">
        <v>0</v>
      </c>
      <c r="O340" s="64">
        <v>0</v>
      </c>
      <c r="P340" s="64">
        <v>0</v>
      </c>
      <c r="Q340" s="64"/>
      <c r="R340" s="64"/>
      <c r="S340" s="65"/>
      <c r="T340" s="66">
        <v>6229.3541759999989</v>
      </c>
      <c r="U340" s="67"/>
      <c r="V340" s="71"/>
    </row>
    <row r="341" spans="1:70" x14ac:dyDescent="0.25">
      <c r="A341" s="60">
        <f t="shared" si="30"/>
        <v>314</v>
      </c>
      <c r="B341" s="61">
        <f t="shared" si="31"/>
        <v>126</v>
      </c>
      <c r="C341" s="62" t="s">
        <v>52</v>
      </c>
      <c r="D341" s="62" t="s">
        <v>1093</v>
      </c>
      <c r="E341" s="63">
        <f t="shared" si="29"/>
        <v>25478711.007879999</v>
      </c>
      <c r="F341" s="64">
        <v>6334618.4835359994</v>
      </c>
      <c r="G341" s="64">
        <v>2285255.0308980001</v>
      </c>
      <c r="H341" s="64">
        <v>2421941.33</v>
      </c>
      <c r="I341" s="64">
        <v>1543119.658416</v>
      </c>
      <c r="J341" s="64"/>
      <c r="K341" s="64"/>
      <c r="L341" s="64">
        <v>222397.71089423998</v>
      </c>
      <c r="M341" s="64">
        <v>0</v>
      </c>
      <c r="N341" s="64">
        <v>11696963.74329</v>
      </c>
      <c r="O341" s="64">
        <v>0</v>
      </c>
      <c r="P341" s="64">
        <v>0</v>
      </c>
      <c r="Q341" s="64"/>
      <c r="R341" s="64">
        <v>388642.91079999995</v>
      </c>
      <c r="S341" s="65">
        <v>50318.9908</v>
      </c>
      <c r="T341" s="66">
        <v>535453.14924575994</v>
      </c>
      <c r="U341" s="67"/>
    </row>
    <row r="342" spans="1:70" x14ac:dyDescent="0.25">
      <c r="A342" s="60">
        <f t="shared" si="30"/>
        <v>315</v>
      </c>
      <c r="B342" s="61">
        <f t="shared" si="31"/>
        <v>127</v>
      </c>
      <c r="C342" s="62" t="s">
        <v>52</v>
      </c>
      <c r="D342" s="62" t="s">
        <v>1094</v>
      </c>
      <c r="E342" s="63">
        <f t="shared" si="29"/>
        <v>25854512.345737994</v>
      </c>
      <c r="F342" s="64">
        <v>6438393.5627339995</v>
      </c>
      <c r="G342" s="64">
        <v>2323154.7703559999</v>
      </c>
      <c r="H342" s="64">
        <v>2462247.36</v>
      </c>
      <c r="I342" s="92">
        <v>1533694.94</v>
      </c>
      <c r="J342" s="64"/>
      <c r="K342" s="64"/>
      <c r="L342" s="64">
        <v>226016.53592027997</v>
      </c>
      <c r="M342" s="64">
        <v>0</v>
      </c>
      <c r="N342" s="64">
        <v>11889999.423917999</v>
      </c>
      <c r="O342" s="64">
        <v>0</v>
      </c>
      <c r="P342" s="64">
        <v>0</v>
      </c>
      <c r="Q342" s="64">
        <v>0</v>
      </c>
      <c r="R342" s="64">
        <v>386371.78509999998</v>
      </c>
      <c r="S342" s="65">
        <v>50356.725099999996</v>
      </c>
      <c r="T342" s="66">
        <v>544277.24260971998</v>
      </c>
      <c r="U342" s="67"/>
    </row>
    <row r="343" spans="1:70" x14ac:dyDescent="0.25">
      <c r="A343" s="60">
        <f t="shared" si="30"/>
        <v>316</v>
      </c>
      <c r="B343" s="61">
        <f t="shared" si="31"/>
        <v>128</v>
      </c>
      <c r="C343" s="62" t="s">
        <v>52</v>
      </c>
      <c r="D343" s="62" t="s">
        <v>1095</v>
      </c>
      <c r="E343" s="63">
        <f t="shared" si="29"/>
        <v>27909769.888632003</v>
      </c>
      <c r="F343" s="64">
        <v>7094689.9108260004</v>
      </c>
      <c r="G343" s="64">
        <v>2547296.6905259998</v>
      </c>
      <c r="H343" s="64">
        <v>1704018.34</v>
      </c>
      <c r="I343" s="64">
        <v>1334515.24</v>
      </c>
      <c r="J343" s="64"/>
      <c r="K343" s="64"/>
      <c r="L343" s="64">
        <v>249717.57989135996</v>
      </c>
      <c r="M343" s="64">
        <v>0</v>
      </c>
      <c r="N343" s="92">
        <v>6866520.9800000004</v>
      </c>
      <c r="O343" s="64">
        <v>0</v>
      </c>
      <c r="P343" s="64">
        <v>0</v>
      </c>
      <c r="Q343" s="64">
        <v>7353384.3865860002</v>
      </c>
      <c r="R343" s="64"/>
      <c r="S343" s="65"/>
      <c r="T343" s="66">
        <v>759626.76080264</v>
      </c>
      <c r="U343" s="67"/>
    </row>
    <row r="344" spans="1:70" x14ac:dyDescent="0.25">
      <c r="A344" s="60">
        <f t="shared" si="30"/>
        <v>317</v>
      </c>
      <c r="B344" s="61">
        <f t="shared" si="31"/>
        <v>129</v>
      </c>
      <c r="C344" s="62" t="s">
        <v>52</v>
      </c>
      <c r="D344" s="62" t="s">
        <v>724</v>
      </c>
      <c r="E344" s="63">
        <f t="shared" si="29"/>
        <v>1519846.3999999999</v>
      </c>
      <c r="F344" s="64">
        <v>0</v>
      </c>
      <c r="G344" s="64">
        <v>0</v>
      </c>
      <c r="H344" s="64">
        <v>0</v>
      </c>
      <c r="I344" s="64">
        <v>0</v>
      </c>
      <c r="J344" s="64">
        <v>1512746.4</v>
      </c>
      <c r="K344" s="64"/>
      <c r="L344" s="64"/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/>
      <c r="S344" s="65"/>
      <c r="T344" s="66">
        <v>7100</v>
      </c>
      <c r="U344" s="67"/>
    </row>
    <row r="345" spans="1:70" x14ac:dyDescent="0.25">
      <c r="A345" s="60">
        <f t="shared" si="30"/>
        <v>318</v>
      </c>
      <c r="B345" s="61">
        <f t="shared" si="31"/>
        <v>130</v>
      </c>
      <c r="C345" s="62" t="s">
        <v>52</v>
      </c>
      <c r="D345" s="62" t="s">
        <v>1041</v>
      </c>
      <c r="E345" s="63">
        <f t="shared" si="29"/>
        <v>1520139.6099999999</v>
      </c>
      <c r="F345" s="64">
        <v>0</v>
      </c>
      <c r="G345" s="64">
        <v>0</v>
      </c>
      <c r="H345" s="64">
        <v>0</v>
      </c>
      <c r="I345" s="64">
        <v>0</v>
      </c>
      <c r="J345" s="64">
        <v>1512746.4</v>
      </c>
      <c r="K345" s="64"/>
      <c r="L345" s="64"/>
      <c r="M345" s="64">
        <v>0</v>
      </c>
      <c r="N345" s="64">
        <v>0</v>
      </c>
      <c r="O345" s="64">
        <v>0</v>
      </c>
      <c r="P345" s="64">
        <v>0</v>
      </c>
      <c r="Q345" s="64"/>
      <c r="R345" s="64"/>
      <c r="S345" s="65"/>
      <c r="T345" s="66">
        <v>7393.21</v>
      </c>
      <c r="U345" s="67"/>
    </row>
    <row r="346" spans="1:70" x14ac:dyDescent="0.25">
      <c r="A346" s="60">
        <f t="shared" ref="A346:A409" si="34">+A345+1</f>
        <v>319</v>
      </c>
      <c r="B346" s="61">
        <f t="shared" ref="B346:B409" si="35">+B345+1</f>
        <v>131</v>
      </c>
      <c r="C346" s="62" t="s">
        <v>52</v>
      </c>
      <c r="D346" s="62" t="s">
        <v>1038</v>
      </c>
      <c r="E346" s="63">
        <f t="shared" si="29"/>
        <v>10432840.03284708</v>
      </c>
      <c r="F346" s="89">
        <v>4879920.8499999996</v>
      </c>
      <c r="G346" s="64">
        <v>3984439.31</v>
      </c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5"/>
      <c r="T346" s="66">
        <v>1568479.8728470802</v>
      </c>
      <c r="U346" s="67"/>
    </row>
    <row r="347" spans="1:70" x14ac:dyDescent="0.25">
      <c r="A347" s="60">
        <f t="shared" si="34"/>
        <v>320</v>
      </c>
      <c r="B347" s="61">
        <f t="shared" si="35"/>
        <v>132</v>
      </c>
      <c r="C347" s="62" t="s">
        <v>52</v>
      </c>
      <c r="D347" s="62" t="s">
        <v>1039</v>
      </c>
      <c r="E347" s="63">
        <f t="shared" si="29"/>
        <v>11081380.824908921</v>
      </c>
      <c r="F347" s="64">
        <v>5873059.1900000004</v>
      </c>
      <c r="G347" s="64">
        <v>2875942.18</v>
      </c>
      <c r="H347" s="64"/>
      <c r="I347" s="64">
        <v>1546747.33</v>
      </c>
      <c r="J347" s="64"/>
      <c r="K347" s="64"/>
      <c r="L347" s="64"/>
      <c r="M347" s="64"/>
      <c r="N347" s="64"/>
      <c r="O347" s="64"/>
      <c r="P347" s="64"/>
      <c r="Q347" s="64"/>
      <c r="R347" s="64"/>
      <c r="S347" s="65"/>
      <c r="T347" s="66">
        <v>785632.12490892003</v>
      </c>
      <c r="U347" s="67"/>
    </row>
    <row r="348" spans="1:70" x14ac:dyDescent="0.25">
      <c r="A348" s="60">
        <f t="shared" si="34"/>
        <v>321</v>
      </c>
      <c r="B348" s="61">
        <f t="shared" si="35"/>
        <v>133</v>
      </c>
      <c r="C348" s="62" t="s">
        <v>52</v>
      </c>
      <c r="D348" s="62" t="s">
        <v>1044</v>
      </c>
      <c r="E348" s="63">
        <f t="shared" si="29"/>
        <v>67926919.808031857</v>
      </c>
      <c r="F348" s="64">
        <v>7864219.1399999997</v>
      </c>
      <c r="G348" s="62"/>
      <c r="H348" s="64">
        <v>2874656.38</v>
      </c>
      <c r="I348" s="64">
        <v>1502641.16</v>
      </c>
      <c r="J348" s="62"/>
      <c r="K348" s="62"/>
      <c r="L348" s="62"/>
      <c r="M348" s="62"/>
      <c r="N348" s="62"/>
      <c r="O348" s="62"/>
      <c r="P348" s="95">
        <v>36252968.326471299</v>
      </c>
      <c r="Q348" s="95">
        <v>15215386.67</v>
      </c>
      <c r="R348" s="64">
        <v>2584774.6794000003</v>
      </c>
      <c r="S348" s="64">
        <v>286926.38929999998</v>
      </c>
      <c r="T348" s="66">
        <f>552568.07023182+792778.99262874</f>
        <v>1345347.0628605601</v>
      </c>
      <c r="U348" s="67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</row>
    <row r="349" spans="1:70" x14ac:dyDescent="0.25">
      <c r="A349" s="60">
        <f t="shared" si="34"/>
        <v>322</v>
      </c>
      <c r="B349" s="61">
        <f t="shared" si="35"/>
        <v>134</v>
      </c>
      <c r="C349" s="62" t="s">
        <v>52</v>
      </c>
      <c r="D349" s="62" t="s">
        <v>725</v>
      </c>
      <c r="E349" s="63">
        <f t="shared" si="29"/>
        <v>25578176.880670533</v>
      </c>
      <c r="F349" s="64"/>
      <c r="G349" s="64"/>
      <c r="H349" s="64">
        <v>6092197.7857524259</v>
      </c>
      <c r="I349" s="64"/>
      <c r="J349" s="64"/>
      <c r="K349" s="64"/>
      <c r="L349" s="64"/>
      <c r="M349" s="64"/>
      <c r="N349" s="64"/>
      <c r="O349" s="64"/>
      <c r="P349" s="72"/>
      <c r="Q349" s="64">
        <v>16788121.983090475</v>
      </c>
      <c r="R349" s="64">
        <v>1515314.3848925564</v>
      </c>
      <c r="S349" s="65">
        <v>50298.009527999995</v>
      </c>
      <c r="T349" s="66">
        <v>1132244.7174070757</v>
      </c>
      <c r="U349" s="67"/>
    </row>
    <row r="350" spans="1:70" x14ac:dyDescent="0.25">
      <c r="A350" s="60">
        <f t="shared" si="34"/>
        <v>323</v>
      </c>
      <c r="B350" s="61">
        <f t="shared" si="35"/>
        <v>135</v>
      </c>
      <c r="C350" s="62" t="s">
        <v>52</v>
      </c>
      <c r="D350" s="62" t="s">
        <v>699</v>
      </c>
      <c r="E350" s="63">
        <f t="shared" si="29"/>
        <v>21780503.481325135</v>
      </c>
      <c r="F350" s="64">
        <v>6939356.6437431425</v>
      </c>
      <c r="G350" s="64">
        <v>0</v>
      </c>
      <c r="H350" s="64">
        <v>0</v>
      </c>
      <c r="I350" s="64">
        <v>0</v>
      </c>
      <c r="J350" s="64">
        <v>818458.35</v>
      </c>
      <c r="K350" s="64"/>
      <c r="L350" s="64">
        <v>266268.26596902258</v>
      </c>
      <c r="M350" s="64">
        <v>0</v>
      </c>
      <c r="N350" s="64">
        <v>6490827.1100000003</v>
      </c>
      <c r="O350" s="64">
        <v>0</v>
      </c>
      <c r="P350" s="64">
        <v>0</v>
      </c>
      <c r="Q350" s="64">
        <v>7104547.2889906801</v>
      </c>
      <c r="R350" s="64"/>
      <c r="S350" s="65"/>
      <c r="T350" s="66">
        <v>161045.8226222918</v>
      </c>
      <c r="U350" s="67"/>
      <c r="V350" s="75"/>
    </row>
    <row r="351" spans="1:70" x14ac:dyDescent="0.25">
      <c r="A351" s="60">
        <f t="shared" si="34"/>
        <v>324</v>
      </c>
      <c r="B351" s="61">
        <f t="shared" si="35"/>
        <v>136</v>
      </c>
      <c r="C351" s="62" t="s">
        <v>52</v>
      </c>
      <c r="D351" s="62" t="s">
        <v>1096</v>
      </c>
      <c r="E351" s="88">
        <f t="shared" si="29"/>
        <v>1573497.0647</v>
      </c>
      <c r="F351" s="64">
        <v>0</v>
      </c>
      <c r="G351" s="64">
        <v>0</v>
      </c>
      <c r="H351" s="64">
        <v>1539824.2275154199</v>
      </c>
      <c r="I351" s="64">
        <v>0</v>
      </c>
      <c r="J351" s="64">
        <v>0</v>
      </c>
      <c r="K351" s="64"/>
      <c r="L351" s="64"/>
      <c r="M351" s="64">
        <v>0</v>
      </c>
      <c r="N351" s="64">
        <v>0</v>
      </c>
      <c r="O351" s="64">
        <v>0</v>
      </c>
      <c r="P351" s="64"/>
      <c r="Q351" s="64">
        <v>0</v>
      </c>
      <c r="R351" s="64"/>
      <c r="S351" s="65"/>
      <c r="T351" s="66">
        <v>33672.837184579999</v>
      </c>
      <c r="U351" s="67"/>
    </row>
    <row r="352" spans="1:70" x14ac:dyDescent="0.25">
      <c r="A352" s="60">
        <f t="shared" si="34"/>
        <v>325</v>
      </c>
      <c r="B352" s="61">
        <f t="shared" si="35"/>
        <v>137</v>
      </c>
      <c r="C352" s="62" t="s">
        <v>52</v>
      </c>
      <c r="D352" s="62" t="s">
        <v>540</v>
      </c>
      <c r="E352" s="63">
        <f t="shared" si="29"/>
        <v>494347.02341200004</v>
      </c>
      <c r="F352" s="64">
        <v>0</v>
      </c>
      <c r="G352" s="64">
        <v>0</v>
      </c>
      <c r="H352" s="64">
        <v>0</v>
      </c>
      <c r="I352" s="64">
        <v>0</v>
      </c>
      <c r="J352" s="64">
        <v>491444.89900000003</v>
      </c>
      <c r="K352" s="64"/>
      <c r="L352" s="64"/>
      <c r="M352" s="64">
        <v>0</v>
      </c>
      <c r="N352" s="64">
        <v>0</v>
      </c>
      <c r="O352" s="64">
        <v>0</v>
      </c>
      <c r="P352" s="64"/>
      <c r="Q352" s="64"/>
      <c r="R352" s="64"/>
      <c r="S352" s="65"/>
      <c r="T352" s="66">
        <v>2902.1244119999997</v>
      </c>
      <c r="U352" s="67"/>
    </row>
    <row r="353" spans="1:22" x14ac:dyDescent="0.25">
      <c r="A353" s="60">
        <f t="shared" si="34"/>
        <v>326</v>
      </c>
      <c r="B353" s="61">
        <f t="shared" si="35"/>
        <v>138</v>
      </c>
      <c r="C353" s="62" t="s">
        <v>52</v>
      </c>
      <c r="D353" s="62" t="s">
        <v>1097</v>
      </c>
      <c r="E353" s="63">
        <f t="shared" si="29"/>
        <v>16015618.41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/>
      <c r="L353" s="64"/>
      <c r="M353" s="64">
        <v>0</v>
      </c>
      <c r="N353" s="64">
        <v>0</v>
      </c>
      <c r="O353" s="64">
        <v>0</v>
      </c>
      <c r="P353" s="64">
        <v>0</v>
      </c>
      <c r="Q353" s="64">
        <v>15672884.176026</v>
      </c>
      <c r="R353" s="64"/>
      <c r="S353" s="65"/>
      <c r="T353" s="66">
        <v>342734.23397399997</v>
      </c>
      <c r="U353" s="67"/>
    </row>
    <row r="354" spans="1:22" x14ac:dyDescent="0.25">
      <c r="A354" s="60">
        <f t="shared" si="34"/>
        <v>327</v>
      </c>
      <c r="B354" s="61">
        <f t="shared" si="35"/>
        <v>139</v>
      </c>
      <c r="C354" s="62" t="s">
        <v>52</v>
      </c>
      <c r="D354" s="62" t="s">
        <v>1098</v>
      </c>
      <c r="E354" s="63">
        <f t="shared" si="29"/>
        <v>16196844.685650662</v>
      </c>
      <c r="F354" s="64">
        <v>0</v>
      </c>
      <c r="G354" s="64">
        <v>0</v>
      </c>
      <c r="H354" s="64">
        <v>2724296.2008204604</v>
      </c>
      <c r="I354" s="64">
        <v>0</v>
      </c>
      <c r="J354" s="64">
        <v>0</v>
      </c>
      <c r="K354" s="64"/>
      <c r="L354" s="64"/>
      <c r="M354" s="64">
        <v>0</v>
      </c>
      <c r="N354" s="64">
        <v>13180008.33</v>
      </c>
      <c r="O354" s="64">
        <v>0</v>
      </c>
      <c r="P354" s="64"/>
      <c r="Q354" s="64">
        <v>0</v>
      </c>
      <c r="R354" s="64"/>
      <c r="S354" s="65"/>
      <c r="T354" s="66">
        <v>292540.15483020002</v>
      </c>
      <c r="U354" s="67"/>
    </row>
    <row r="355" spans="1:22" x14ac:dyDescent="0.25">
      <c r="A355" s="60">
        <f t="shared" si="34"/>
        <v>328</v>
      </c>
      <c r="B355" s="61">
        <f t="shared" si="35"/>
        <v>140</v>
      </c>
      <c r="C355" s="62" t="s">
        <v>52</v>
      </c>
      <c r="D355" s="62" t="s">
        <v>726</v>
      </c>
      <c r="E355" s="63">
        <f t="shared" si="29"/>
        <v>10273843.44167906</v>
      </c>
      <c r="F355" s="64"/>
      <c r="G355" s="64"/>
      <c r="H355" s="64">
        <v>2399769.9437850602</v>
      </c>
      <c r="I355" s="64">
        <v>0</v>
      </c>
      <c r="J355" s="64">
        <v>1020388.92</v>
      </c>
      <c r="K355" s="64"/>
      <c r="L355" s="64"/>
      <c r="M355" s="64"/>
      <c r="N355" s="64"/>
      <c r="O355" s="64"/>
      <c r="P355" s="64"/>
      <c r="Q355" s="64">
        <v>6849574.25</v>
      </c>
      <c r="R355" s="64"/>
      <c r="S355" s="65"/>
      <c r="T355" s="66">
        <v>4110.327894</v>
      </c>
      <c r="U355" s="67"/>
    </row>
    <row r="356" spans="1:22" x14ac:dyDescent="0.25">
      <c r="A356" s="60">
        <f t="shared" si="34"/>
        <v>329</v>
      </c>
      <c r="B356" s="61">
        <f t="shared" si="35"/>
        <v>141</v>
      </c>
      <c r="C356" s="62" t="s">
        <v>52</v>
      </c>
      <c r="D356" s="62" t="s">
        <v>727</v>
      </c>
      <c r="E356" s="63">
        <f t="shared" si="29"/>
        <v>11931064.43</v>
      </c>
      <c r="F356" s="64"/>
      <c r="G356" s="64"/>
      <c r="H356" s="64"/>
      <c r="I356" s="64"/>
      <c r="J356" s="64"/>
      <c r="K356" s="64"/>
      <c r="L356" s="64"/>
      <c r="M356" s="64"/>
      <c r="N356" s="64">
        <v>11429694.42415854</v>
      </c>
      <c r="O356" s="64"/>
      <c r="P356" s="64"/>
      <c r="Q356" s="64"/>
      <c r="R356" s="64">
        <v>227425.73782900031</v>
      </c>
      <c r="S356" s="65">
        <v>24000</v>
      </c>
      <c r="T356" s="66">
        <v>249944.26801245942</v>
      </c>
      <c r="U356" s="67"/>
    </row>
    <row r="357" spans="1:22" x14ac:dyDescent="0.25">
      <c r="A357" s="60">
        <f t="shared" si="34"/>
        <v>330</v>
      </c>
      <c r="B357" s="61">
        <f t="shared" si="35"/>
        <v>142</v>
      </c>
      <c r="C357" s="62" t="s">
        <v>52</v>
      </c>
      <c r="D357" s="62" t="s">
        <v>760</v>
      </c>
      <c r="E357" s="88">
        <f t="shared" ref="E357:E360" si="36">SUBTOTAL(9,F357:T357)</f>
        <v>32753020.393048249</v>
      </c>
      <c r="F357" s="64">
        <v>8145536.9211967923</v>
      </c>
      <c r="G357" s="64"/>
      <c r="H357" s="64">
        <v>3032559.0353824017</v>
      </c>
      <c r="I357" s="64"/>
      <c r="J357" s="64"/>
      <c r="K357" s="64"/>
      <c r="L357" s="64">
        <v>312550.29864321835</v>
      </c>
      <c r="M357" s="64">
        <v>0</v>
      </c>
      <c r="N357" s="64">
        <v>0</v>
      </c>
      <c r="O357" s="64">
        <v>0</v>
      </c>
      <c r="P357" s="64">
        <v>7731612.436627632</v>
      </c>
      <c r="Q357" s="64">
        <v>8339440.559383967</v>
      </c>
      <c r="R357" s="64">
        <v>4071050.8610671004</v>
      </c>
      <c r="S357" s="65">
        <v>387157.94560827821</v>
      </c>
      <c r="T357" s="66">
        <v>733112.33513886225</v>
      </c>
      <c r="U357" s="67"/>
    </row>
    <row r="358" spans="1:22" x14ac:dyDescent="0.25">
      <c r="A358" s="60">
        <f t="shared" si="34"/>
        <v>331</v>
      </c>
      <c r="B358" s="61">
        <f t="shared" si="35"/>
        <v>143</v>
      </c>
      <c r="C358" s="62" t="s">
        <v>52</v>
      </c>
      <c r="D358" s="62" t="s">
        <v>761</v>
      </c>
      <c r="E358" s="88">
        <f t="shared" si="36"/>
        <v>46001190.044842333</v>
      </c>
      <c r="F358" s="64"/>
      <c r="G358" s="64"/>
      <c r="H358" s="64">
        <v>4497893.3018872356</v>
      </c>
      <c r="I358" s="64"/>
      <c r="J358" s="64"/>
      <c r="K358" s="64"/>
      <c r="L358" s="64"/>
      <c r="M358" s="64"/>
      <c r="N358" s="64">
        <v>21981498.489577852</v>
      </c>
      <c r="O358" s="64"/>
      <c r="P358" s="64"/>
      <c r="Q358" s="64">
        <v>12368954.783286048</v>
      </c>
      <c r="R358" s="64">
        <v>5496977.6636125278</v>
      </c>
      <c r="S358" s="65">
        <v>568685.02805103827</v>
      </c>
      <c r="T358" s="66">
        <v>1087180.7784276213</v>
      </c>
      <c r="U358" s="67"/>
    </row>
    <row r="359" spans="1:22" x14ac:dyDescent="0.25">
      <c r="A359" s="60">
        <f t="shared" si="34"/>
        <v>332</v>
      </c>
      <c r="B359" s="61">
        <f t="shared" si="35"/>
        <v>144</v>
      </c>
      <c r="C359" s="62" t="s">
        <v>52</v>
      </c>
      <c r="D359" s="62" t="s">
        <v>701</v>
      </c>
      <c r="E359" s="88">
        <f t="shared" si="36"/>
        <v>23317560.428327236</v>
      </c>
      <c r="F359" s="64"/>
      <c r="G359" s="64"/>
      <c r="H359" s="64"/>
      <c r="I359" s="64"/>
      <c r="J359" s="64"/>
      <c r="K359" s="64"/>
      <c r="L359" s="64"/>
      <c r="M359" s="64"/>
      <c r="N359" s="64">
        <v>12083403.596964777</v>
      </c>
      <c r="O359" s="64">
        <v>0</v>
      </c>
      <c r="P359" s="64"/>
      <c r="Q359" s="64">
        <v>7268144.6399999997</v>
      </c>
      <c r="R359" s="64">
        <v>2732058.4400660531</v>
      </c>
      <c r="S359" s="65">
        <v>286925.44751838496</v>
      </c>
      <c r="T359" s="66">
        <v>947028.30377802055</v>
      </c>
      <c r="U359" s="67"/>
    </row>
    <row r="360" spans="1:22" x14ac:dyDescent="0.25">
      <c r="A360" s="60">
        <f t="shared" si="34"/>
        <v>333</v>
      </c>
      <c r="B360" s="61">
        <f t="shared" si="35"/>
        <v>145</v>
      </c>
      <c r="C360" s="62" t="s">
        <v>52</v>
      </c>
      <c r="D360" s="62" t="s">
        <v>764</v>
      </c>
      <c r="E360" s="88">
        <f t="shared" si="36"/>
        <v>61157642.325708807</v>
      </c>
      <c r="F360" s="64"/>
      <c r="G360" s="64"/>
      <c r="H360" s="64"/>
      <c r="I360" s="64"/>
      <c r="J360" s="64"/>
      <c r="K360" s="64"/>
      <c r="L360" s="64"/>
      <c r="M360" s="64">
        <v>0</v>
      </c>
      <c r="N360" s="64">
        <v>19539237.221927989</v>
      </c>
      <c r="O360" s="64">
        <v>0</v>
      </c>
      <c r="P360" s="64">
        <v>26121995.741614502</v>
      </c>
      <c r="Q360" s="64">
        <v>11011049.169328276</v>
      </c>
      <c r="R360" s="64">
        <v>2004018.8504551058</v>
      </c>
      <c r="S360" s="65">
        <v>809410.4231971642</v>
      </c>
      <c r="T360" s="66">
        <v>1671930.9191857728</v>
      </c>
      <c r="U360" s="67"/>
    </row>
    <row r="361" spans="1:22" x14ac:dyDescent="0.25">
      <c r="A361" s="60">
        <f t="shared" si="34"/>
        <v>334</v>
      </c>
      <c r="B361" s="61">
        <f t="shared" si="35"/>
        <v>146</v>
      </c>
      <c r="C361" s="62" t="s">
        <v>52</v>
      </c>
      <c r="D361" s="62" t="s">
        <v>1046</v>
      </c>
      <c r="E361" s="63">
        <f t="shared" ref="E361:E436" si="37">SUBTOTAL(9,F361:T361)</f>
        <v>1422590.52870784</v>
      </c>
      <c r="F361" s="64"/>
      <c r="G361" s="64"/>
      <c r="H361" s="64"/>
      <c r="I361" s="64">
        <v>754929.79</v>
      </c>
      <c r="J361" s="64">
        <v>0</v>
      </c>
      <c r="K361" s="64"/>
      <c r="L361" s="64"/>
      <c r="M361" s="64">
        <v>0</v>
      </c>
      <c r="N361" s="64"/>
      <c r="O361" s="64">
        <v>0</v>
      </c>
      <c r="P361" s="64">
        <v>0</v>
      </c>
      <c r="Q361" s="64"/>
      <c r="R361" s="64">
        <v>160007.0122</v>
      </c>
      <c r="S361" s="65">
        <v>24000</v>
      </c>
      <c r="T361" s="66">
        <v>483653.72650783998</v>
      </c>
      <c r="U361" s="67"/>
    </row>
    <row r="362" spans="1:22" x14ac:dyDescent="0.25">
      <c r="A362" s="60">
        <f t="shared" si="34"/>
        <v>335</v>
      </c>
      <c r="B362" s="61">
        <f t="shared" si="35"/>
        <v>147</v>
      </c>
      <c r="C362" s="62" t="s">
        <v>52</v>
      </c>
      <c r="D362" s="62" t="s">
        <v>765</v>
      </c>
      <c r="E362" s="88">
        <f>SUBTOTAL(9,F362:T362)</f>
        <v>8914451.7878207974</v>
      </c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>
        <v>7764077.4424096756</v>
      </c>
      <c r="R362" s="64">
        <v>891445.17878207995</v>
      </c>
      <c r="S362" s="65">
        <v>89144.517878207989</v>
      </c>
      <c r="T362" s="66">
        <v>169784.64875083495</v>
      </c>
      <c r="U362" s="67"/>
    </row>
    <row r="363" spans="1:22" x14ac:dyDescent="0.25">
      <c r="A363" s="60">
        <f t="shared" si="34"/>
        <v>336</v>
      </c>
      <c r="B363" s="61">
        <f t="shared" si="35"/>
        <v>148</v>
      </c>
      <c r="C363" s="62" t="s">
        <v>52</v>
      </c>
      <c r="D363" s="62" t="s">
        <v>728</v>
      </c>
      <c r="E363" s="63">
        <f t="shared" si="37"/>
        <v>3230601.6521515604</v>
      </c>
      <c r="F363" s="64"/>
      <c r="G363" s="64"/>
      <c r="H363" s="64">
        <v>2244217.7771235602</v>
      </c>
      <c r="I363" s="64"/>
      <c r="J363" s="64">
        <v>982262</v>
      </c>
      <c r="K363" s="64"/>
      <c r="L363" s="64"/>
      <c r="M363" s="64"/>
      <c r="N363" s="64"/>
      <c r="O363" s="64"/>
      <c r="P363" s="64"/>
      <c r="Q363" s="64">
        <v>0</v>
      </c>
      <c r="R363" s="64"/>
      <c r="S363" s="65"/>
      <c r="T363" s="66">
        <v>4121.8750279999986</v>
      </c>
      <c r="U363" s="67"/>
    </row>
    <row r="364" spans="1:22" x14ac:dyDescent="0.25">
      <c r="A364" s="60">
        <f t="shared" si="34"/>
        <v>337</v>
      </c>
      <c r="B364" s="61">
        <f t="shared" si="35"/>
        <v>149</v>
      </c>
      <c r="C364" s="62" t="s">
        <v>52</v>
      </c>
      <c r="D364" s="62" t="s">
        <v>1048</v>
      </c>
      <c r="E364" s="95">
        <f t="shared" si="37"/>
        <v>542862</v>
      </c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>
        <v>542862</v>
      </c>
      <c r="Q364" s="64"/>
      <c r="R364" s="64"/>
      <c r="S364" s="65"/>
      <c r="T364" s="66"/>
      <c r="U364" s="67"/>
      <c r="V364" s="75"/>
    </row>
    <row r="365" spans="1:22" s="75" customFormat="1" x14ac:dyDescent="0.25">
      <c r="A365" s="60">
        <f t="shared" si="34"/>
        <v>338</v>
      </c>
      <c r="B365" s="61">
        <f t="shared" si="35"/>
        <v>150</v>
      </c>
      <c r="C365" s="62" t="s">
        <v>52</v>
      </c>
      <c r="D365" s="62" t="s">
        <v>123</v>
      </c>
      <c r="E365" s="63">
        <f t="shared" si="37"/>
        <v>66200707.596252531</v>
      </c>
      <c r="F365" s="64">
        <v>8835258.7268668804</v>
      </c>
      <c r="G365" s="64"/>
      <c r="H365" s="64">
        <v>5569271.4127483098</v>
      </c>
      <c r="I365" s="64">
        <v>4295867.3561627036</v>
      </c>
      <c r="J365" s="64"/>
      <c r="K365" s="64"/>
      <c r="L365" s="64">
        <v>418101.46163142752</v>
      </c>
      <c r="M365" s="64"/>
      <c r="N365" s="64"/>
      <c r="O365" s="64"/>
      <c r="P365" s="64">
        <v>31664608.563177813</v>
      </c>
      <c r="Q365" s="64">
        <v>12348392.029822793</v>
      </c>
      <c r="R365" s="64">
        <v>1482907.8558986555</v>
      </c>
      <c r="S365" s="64">
        <v>48725.618500800003</v>
      </c>
      <c r="T365" s="96">
        <v>1537574.5714431447</v>
      </c>
      <c r="U365" s="67"/>
    </row>
    <row r="366" spans="1:22" s="75" customFormat="1" x14ac:dyDescent="0.25">
      <c r="A366" s="60">
        <f t="shared" si="34"/>
        <v>339</v>
      </c>
      <c r="B366" s="61">
        <f t="shared" si="35"/>
        <v>151</v>
      </c>
      <c r="C366" s="62" t="s">
        <v>52</v>
      </c>
      <c r="D366" s="62" t="s">
        <v>729</v>
      </c>
      <c r="E366" s="63">
        <f t="shared" si="37"/>
        <v>20550313.227349345</v>
      </c>
      <c r="F366" s="64"/>
      <c r="G366" s="64"/>
      <c r="H366" s="64">
        <v>5439076.9790404048</v>
      </c>
      <c r="I366" s="64"/>
      <c r="J366" s="64"/>
      <c r="K366" s="64"/>
      <c r="L366" s="64"/>
      <c r="M366" s="64"/>
      <c r="N366" s="64"/>
      <c r="O366" s="64"/>
      <c r="P366" s="64"/>
      <c r="Q366" s="64">
        <v>12054826.904510155</v>
      </c>
      <c r="R366" s="64">
        <v>1506877.3285040956</v>
      </c>
      <c r="S366" s="64">
        <v>48520.724843999997</v>
      </c>
      <c r="T366" s="96">
        <v>1501011.2904506847</v>
      </c>
      <c r="U366" s="67"/>
    </row>
    <row r="367" spans="1:22" x14ac:dyDescent="0.25">
      <c r="A367" s="60">
        <f t="shared" si="34"/>
        <v>340</v>
      </c>
      <c r="B367" s="61">
        <f t="shared" si="35"/>
        <v>152</v>
      </c>
      <c r="C367" s="62" t="s">
        <v>52</v>
      </c>
      <c r="D367" s="62" t="s">
        <v>766</v>
      </c>
      <c r="E367" s="88">
        <f t="shared" si="37"/>
        <v>49984811.481423534</v>
      </c>
      <c r="F367" s="64">
        <v>8299975.9537642226</v>
      </c>
      <c r="G367" s="64">
        <v>4800122.6970841354</v>
      </c>
      <c r="H367" s="64">
        <v>0</v>
      </c>
      <c r="I367" s="64">
        <v>0</v>
      </c>
      <c r="J367" s="64"/>
      <c r="K367" s="64"/>
      <c r="L367" s="64">
        <v>412435.57775988925</v>
      </c>
      <c r="M367" s="64">
        <v>0</v>
      </c>
      <c r="N367" s="64">
        <v>14775207.726083936</v>
      </c>
      <c r="O367" s="64">
        <v>0</v>
      </c>
      <c r="P367" s="64"/>
      <c r="Q367" s="64">
        <v>11281898.466324883</v>
      </c>
      <c r="R367" s="64">
        <v>8086588.8803274343</v>
      </c>
      <c r="S367" s="65">
        <v>802166.0944391829</v>
      </c>
      <c r="T367" s="66">
        <v>1526416.085639846</v>
      </c>
      <c r="U367" s="67"/>
    </row>
    <row r="368" spans="1:22" s="75" customFormat="1" x14ac:dyDescent="0.25">
      <c r="A368" s="60">
        <f t="shared" si="34"/>
        <v>341</v>
      </c>
      <c r="B368" s="61">
        <f t="shared" si="35"/>
        <v>153</v>
      </c>
      <c r="C368" s="62" t="s">
        <v>52</v>
      </c>
      <c r="D368" s="62" t="s">
        <v>1099</v>
      </c>
      <c r="E368" s="63">
        <f t="shared" si="37"/>
        <v>23518468.540692292</v>
      </c>
      <c r="F368" s="64">
        <v>8730606.6099999994</v>
      </c>
      <c r="G368" s="64">
        <v>4797033.0694731697</v>
      </c>
      <c r="H368" s="64">
        <v>3230753.86</v>
      </c>
      <c r="I368" s="64">
        <v>4393629.08</v>
      </c>
      <c r="J368" s="64"/>
      <c r="K368" s="64"/>
      <c r="L368" s="64">
        <v>412170.11113972031</v>
      </c>
      <c r="M368" s="64"/>
      <c r="N368" s="64"/>
      <c r="O368" s="64"/>
      <c r="P368" s="64"/>
      <c r="Q368" s="97"/>
      <c r="R368" s="64">
        <v>205354.86105600002</v>
      </c>
      <c r="S368" s="64">
        <v>24000</v>
      </c>
      <c r="T368" s="96">
        <f>43868.9490234015+1681052</f>
        <v>1724920.9490234016</v>
      </c>
      <c r="U368" s="67"/>
    </row>
    <row r="369" spans="1:21" x14ac:dyDescent="0.25">
      <c r="A369" s="60">
        <f t="shared" si="34"/>
        <v>342</v>
      </c>
      <c r="B369" s="61">
        <f t="shared" si="35"/>
        <v>154</v>
      </c>
      <c r="C369" s="62" t="s">
        <v>52</v>
      </c>
      <c r="D369" s="62" t="s">
        <v>730</v>
      </c>
      <c r="E369" s="63">
        <f t="shared" si="37"/>
        <v>10486187.651386771</v>
      </c>
      <c r="F369" s="64">
        <v>0</v>
      </c>
      <c r="G369" s="64">
        <v>2080965.3426794703</v>
      </c>
      <c r="H369" s="64">
        <v>0</v>
      </c>
      <c r="I369" s="64">
        <v>1397905.6390375202</v>
      </c>
      <c r="J369" s="64"/>
      <c r="K369" s="64"/>
      <c r="L369" s="64"/>
      <c r="M369" s="64">
        <v>0</v>
      </c>
      <c r="N369" s="64">
        <v>0</v>
      </c>
      <c r="O369" s="64">
        <v>0</v>
      </c>
      <c r="P369" s="64">
        <v>0</v>
      </c>
      <c r="Q369" s="64">
        <v>5909986.0434617801</v>
      </c>
      <c r="R369" s="64">
        <v>518300.47000000003</v>
      </c>
      <c r="S369" s="64"/>
      <c r="T369" s="66">
        <f>19668.156208+559362</f>
        <v>579030.15620800003</v>
      </c>
      <c r="U369" s="67"/>
    </row>
    <row r="370" spans="1:21" s="75" customFormat="1" x14ac:dyDescent="0.25">
      <c r="A370" s="60">
        <f t="shared" si="34"/>
        <v>343</v>
      </c>
      <c r="B370" s="61">
        <f t="shared" si="35"/>
        <v>155</v>
      </c>
      <c r="C370" s="62" t="s">
        <v>52</v>
      </c>
      <c r="D370" s="62" t="s">
        <v>733</v>
      </c>
      <c r="E370" s="63">
        <f t="shared" si="37"/>
        <v>10333716.41731458</v>
      </c>
      <c r="F370" s="72"/>
      <c r="G370" s="72"/>
      <c r="H370" s="72"/>
      <c r="I370" s="64">
        <v>1613543.1522205768</v>
      </c>
      <c r="J370" s="64"/>
      <c r="K370" s="64"/>
      <c r="L370" s="64"/>
      <c r="M370" s="64"/>
      <c r="N370" s="64"/>
      <c r="O370" s="64"/>
      <c r="P370" s="64"/>
      <c r="Q370" s="64">
        <v>7272213.9060160564</v>
      </c>
      <c r="R370" s="64">
        <v>742671.38934712671</v>
      </c>
      <c r="S370" s="64">
        <v>43870.514143199995</v>
      </c>
      <c r="T370" s="96">
        <v>661417.45558761922</v>
      </c>
      <c r="U370" s="67"/>
    </row>
    <row r="371" spans="1:21" x14ac:dyDescent="0.25">
      <c r="A371" s="60">
        <f t="shared" si="34"/>
        <v>344</v>
      </c>
      <c r="B371" s="61">
        <f t="shared" si="35"/>
        <v>156</v>
      </c>
      <c r="C371" s="62" t="s">
        <v>52</v>
      </c>
      <c r="D371" s="62" t="s">
        <v>1051</v>
      </c>
      <c r="E371" s="63">
        <f t="shared" si="37"/>
        <v>29643609.067061998</v>
      </c>
      <c r="F371" s="64"/>
      <c r="G371" s="64">
        <v>5132408.83</v>
      </c>
      <c r="H371" s="64">
        <v>3542032.19</v>
      </c>
      <c r="I371" s="64">
        <v>4284881.5390919996</v>
      </c>
      <c r="J371" s="64"/>
      <c r="K371" s="64"/>
      <c r="L371" s="64"/>
      <c r="M371" s="64">
        <v>0</v>
      </c>
      <c r="N371" s="64">
        <v>15751030.220309999</v>
      </c>
      <c r="O371" s="64">
        <v>0</v>
      </c>
      <c r="P371" s="64"/>
      <c r="Q371" s="64"/>
      <c r="R371" s="64"/>
      <c r="S371" s="65"/>
      <c r="T371" s="66">
        <v>933256.28766000003</v>
      </c>
      <c r="U371" s="67"/>
    </row>
    <row r="372" spans="1:21" x14ac:dyDescent="0.25">
      <c r="A372" s="60">
        <f t="shared" si="34"/>
        <v>345</v>
      </c>
      <c r="B372" s="61">
        <f t="shared" si="35"/>
        <v>157</v>
      </c>
      <c r="C372" s="62" t="s">
        <v>52</v>
      </c>
      <c r="D372" s="62" t="s">
        <v>768</v>
      </c>
      <c r="E372" s="88">
        <f>SUBTOTAL(9,F372:T372)</f>
        <v>62612290.587540276</v>
      </c>
      <c r="F372" s="64">
        <v>11363498.130000001</v>
      </c>
      <c r="G372" s="89">
        <v>4483956.54</v>
      </c>
      <c r="H372" s="64">
        <v>6339723.2965151407</v>
      </c>
      <c r="I372" s="64">
        <v>5243801.6900000004</v>
      </c>
      <c r="J372" s="64"/>
      <c r="K372" s="64"/>
      <c r="L372" s="64">
        <v>515297.3006874001</v>
      </c>
      <c r="M372" s="64">
        <v>0</v>
      </c>
      <c r="N372" s="64">
        <v>18460706.644925997</v>
      </c>
      <c r="O372" s="64">
        <v>0</v>
      </c>
      <c r="P372" s="64"/>
      <c r="Q372" s="64">
        <v>14096028.4779699</v>
      </c>
      <c r="R372" s="64"/>
      <c r="S372" s="65"/>
      <c r="T372" s="66">
        <v>2109278.5074418397</v>
      </c>
      <c r="U372" s="67"/>
    </row>
    <row r="373" spans="1:21" x14ac:dyDescent="0.25">
      <c r="A373" s="60">
        <f t="shared" si="34"/>
        <v>346</v>
      </c>
      <c r="B373" s="61">
        <f t="shared" si="35"/>
        <v>158</v>
      </c>
      <c r="C373" s="62" t="s">
        <v>52</v>
      </c>
      <c r="D373" s="62" t="s">
        <v>1052</v>
      </c>
      <c r="E373" s="63">
        <f t="shared" si="37"/>
        <v>4587198.4862407399</v>
      </c>
      <c r="F373" s="64"/>
      <c r="G373" s="64">
        <v>1950514.3</v>
      </c>
      <c r="H373" s="64"/>
      <c r="I373" s="64">
        <v>1578269.9</v>
      </c>
      <c r="J373" s="64"/>
      <c r="K373" s="64"/>
      <c r="L373" s="64"/>
      <c r="M373" s="64"/>
      <c r="N373" s="64"/>
      <c r="O373" s="64"/>
      <c r="P373" s="64"/>
      <c r="Q373" s="64"/>
      <c r="R373" s="64"/>
      <c r="S373" s="65"/>
      <c r="T373" s="66">
        <v>1058414.2862407397</v>
      </c>
      <c r="U373" s="67"/>
    </row>
    <row r="374" spans="1:21" x14ac:dyDescent="0.25">
      <c r="A374" s="60">
        <f t="shared" si="34"/>
        <v>347</v>
      </c>
      <c r="B374" s="61">
        <f t="shared" si="35"/>
        <v>159</v>
      </c>
      <c r="C374" s="62" t="s">
        <v>52</v>
      </c>
      <c r="D374" s="62" t="s">
        <v>707</v>
      </c>
      <c r="E374" s="63">
        <f t="shared" si="37"/>
        <v>5272961.0065099401</v>
      </c>
      <c r="F374" s="64">
        <v>3719699.05</v>
      </c>
      <c r="G374" s="64">
        <v>1397547.49</v>
      </c>
      <c r="H374" s="64"/>
      <c r="I374" s="64"/>
      <c r="J374" s="64"/>
      <c r="K374" s="64"/>
      <c r="L374" s="64"/>
      <c r="M374" s="64">
        <v>0</v>
      </c>
      <c r="N374" s="64">
        <v>0</v>
      </c>
      <c r="O374" s="64">
        <v>0</v>
      </c>
      <c r="P374" s="64"/>
      <c r="Q374" s="64">
        <v>0</v>
      </c>
      <c r="R374" s="64"/>
      <c r="S374" s="65"/>
      <c r="T374" s="66">
        <v>155714.46650994002</v>
      </c>
      <c r="U374" s="67"/>
    </row>
    <row r="375" spans="1:21" x14ac:dyDescent="0.25">
      <c r="A375" s="60">
        <f t="shared" si="34"/>
        <v>348</v>
      </c>
      <c r="B375" s="61">
        <f t="shared" si="35"/>
        <v>160</v>
      </c>
      <c r="C375" s="62" t="s">
        <v>52</v>
      </c>
      <c r="D375" s="62" t="s">
        <v>705</v>
      </c>
      <c r="E375" s="63">
        <f t="shared" si="37"/>
        <v>5009037.9893955803</v>
      </c>
      <c r="F375" s="89">
        <v>2721466.55</v>
      </c>
      <c r="G375" s="64">
        <v>1063489.17</v>
      </c>
      <c r="H375" s="64">
        <v>0</v>
      </c>
      <c r="I375" s="64">
        <v>1045305.74</v>
      </c>
      <c r="J375" s="64"/>
      <c r="K375" s="64"/>
      <c r="L375" s="64"/>
      <c r="M375" s="64">
        <v>0</v>
      </c>
      <c r="N375" s="64">
        <v>0</v>
      </c>
      <c r="O375" s="64">
        <v>0</v>
      </c>
      <c r="P375" s="64"/>
      <c r="Q375" s="64">
        <v>0</v>
      </c>
      <c r="R375" s="64"/>
      <c r="S375" s="65"/>
      <c r="T375" s="66">
        <v>178776.52939558003</v>
      </c>
      <c r="U375" s="67"/>
    </row>
    <row r="376" spans="1:21" x14ac:dyDescent="0.25">
      <c r="A376" s="60">
        <f t="shared" si="34"/>
        <v>349</v>
      </c>
      <c r="B376" s="61">
        <f t="shared" si="35"/>
        <v>161</v>
      </c>
      <c r="C376" s="62" t="s">
        <v>52</v>
      </c>
      <c r="D376" s="62" t="s">
        <v>734</v>
      </c>
      <c r="E376" s="63">
        <f t="shared" si="37"/>
        <v>6987925.6824397799</v>
      </c>
      <c r="F376" s="64">
        <v>3719699.05</v>
      </c>
      <c r="G376" s="64">
        <v>1063489.17</v>
      </c>
      <c r="H376" s="64">
        <v>740900.59</v>
      </c>
      <c r="I376" s="64">
        <v>1307914.6300000001</v>
      </c>
      <c r="J376" s="64"/>
      <c r="K376" s="64"/>
      <c r="L376" s="64"/>
      <c r="M376" s="64">
        <v>0</v>
      </c>
      <c r="N376" s="64">
        <v>0</v>
      </c>
      <c r="O376" s="64">
        <v>0</v>
      </c>
      <c r="P376" s="64"/>
      <c r="Q376" s="64">
        <v>0</v>
      </c>
      <c r="R376" s="64"/>
      <c r="S376" s="65"/>
      <c r="T376" s="66">
        <v>155922.24243978004</v>
      </c>
      <c r="U376" s="67"/>
    </row>
    <row r="377" spans="1:21" x14ac:dyDescent="0.25">
      <c r="A377" s="60">
        <f t="shared" si="34"/>
        <v>350</v>
      </c>
      <c r="B377" s="61">
        <f t="shared" si="35"/>
        <v>162</v>
      </c>
      <c r="C377" s="62" t="s">
        <v>52</v>
      </c>
      <c r="D377" s="62" t="s">
        <v>1100</v>
      </c>
      <c r="E377" s="88">
        <f>SUBTOTAL(9,F377:T377)</f>
        <v>26806648.296708696</v>
      </c>
      <c r="F377" s="64">
        <v>4762837.5999999996</v>
      </c>
      <c r="G377" s="64">
        <v>1587374.11791714</v>
      </c>
      <c r="H377" s="64">
        <v>1658452.76095254</v>
      </c>
      <c r="I377" s="64">
        <v>1129165.06</v>
      </c>
      <c r="J377" s="64"/>
      <c r="K377" s="64"/>
      <c r="L377" s="64">
        <v>170937.02604636003</v>
      </c>
      <c r="M377" s="64">
        <v>0</v>
      </c>
      <c r="N377" s="64">
        <v>8143773.8420052007</v>
      </c>
      <c r="O377" s="64">
        <v>0</v>
      </c>
      <c r="P377" s="64">
        <v>4228285.0782631198</v>
      </c>
      <c r="Q377" s="64">
        <v>4560700.3930828199</v>
      </c>
      <c r="R377" s="64"/>
      <c r="S377" s="65"/>
      <c r="T377" s="66">
        <v>565122.41844152007</v>
      </c>
      <c r="U377" s="67"/>
    </row>
    <row r="378" spans="1:21" x14ac:dyDescent="0.25">
      <c r="A378" s="60">
        <f t="shared" si="34"/>
        <v>351</v>
      </c>
      <c r="B378" s="61">
        <f t="shared" si="35"/>
        <v>163</v>
      </c>
      <c r="C378" s="62" t="s">
        <v>52</v>
      </c>
      <c r="D378" s="62" t="s">
        <v>767</v>
      </c>
      <c r="E378" s="88">
        <f t="shared" ref="E378" si="38">SUBTOTAL(9,F378:T378)</f>
        <v>5600130.0100413999</v>
      </c>
      <c r="F378" s="64"/>
      <c r="G378" s="64"/>
      <c r="H378" s="89">
        <v>2119328.04</v>
      </c>
      <c r="I378" s="64">
        <v>3084097.6605179999</v>
      </c>
      <c r="J378" s="64"/>
      <c r="K378" s="64"/>
      <c r="L378" s="64"/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78950.87950000001</v>
      </c>
      <c r="S378" s="65">
        <v>20977.589500000002</v>
      </c>
      <c r="T378" s="66">
        <v>296775.84052339999</v>
      </c>
      <c r="U378" s="67"/>
    </row>
    <row r="379" spans="1:21" x14ac:dyDescent="0.25">
      <c r="A379" s="60">
        <f t="shared" si="34"/>
        <v>352</v>
      </c>
      <c r="B379" s="61">
        <f t="shared" si="35"/>
        <v>164</v>
      </c>
      <c r="C379" s="62" t="s">
        <v>44</v>
      </c>
      <c r="D379" s="62" t="s">
        <v>774</v>
      </c>
      <c r="E379" s="88">
        <f>SUBTOTAL(9,F379:T379)</f>
        <v>2524095.1532999999</v>
      </c>
      <c r="F379" s="64"/>
      <c r="G379" s="64"/>
      <c r="H379" s="64">
        <v>2470079.5170193799</v>
      </c>
      <c r="I379" s="64">
        <v>0</v>
      </c>
      <c r="J379" s="64"/>
      <c r="K379" s="64"/>
      <c r="L379" s="64"/>
      <c r="M379" s="64"/>
      <c r="N379" s="64"/>
      <c r="O379" s="64"/>
      <c r="P379" s="64"/>
      <c r="Q379" s="64"/>
      <c r="R379" s="64"/>
      <c r="S379" s="65"/>
      <c r="T379" s="66">
        <v>54015.636280620005</v>
      </c>
      <c r="U379" s="67"/>
    </row>
    <row r="380" spans="1:21" x14ac:dyDescent="0.25">
      <c r="A380" s="60">
        <f t="shared" si="34"/>
        <v>353</v>
      </c>
      <c r="B380" s="61">
        <f t="shared" si="35"/>
        <v>165</v>
      </c>
      <c r="C380" s="62" t="s">
        <v>44</v>
      </c>
      <c r="D380" s="62" t="s">
        <v>776</v>
      </c>
      <c r="E380" s="88">
        <f>SUBTOTAL(9,F380:T380)</f>
        <v>420332.95579999994</v>
      </c>
      <c r="F380" s="64">
        <v>0</v>
      </c>
      <c r="G380" s="64"/>
      <c r="H380" s="64">
        <v>411337.83054587996</v>
      </c>
      <c r="I380" s="64"/>
      <c r="J380" s="64">
        <v>0</v>
      </c>
      <c r="K380" s="64"/>
      <c r="L380" s="64"/>
      <c r="M380" s="64">
        <v>0</v>
      </c>
      <c r="N380" s="64"/>
      <c r="O380" s="64">
        <v>0</v>
      </c>
      <c r="P380" s="64">
        <v>0</v>
      </c>
      <c r="Q380" s="64">
        <v>0</v>
      </c>
      <c r="R380" s="64"/>
      <c r="S380" s="65"/>
      <c r="T380" s="66">
        <v>8995.1252541199992</v>
      </c>
      <c r="U380" s="67"/>
    </row>
    <row r="381" spans="1:21" x14ac:dyDescent="0.25">
      <c r="A381" s="60">
        <f t="shared" si="34"/>
        <v>354</v>
      </c>
      <c r="B381" s="61">
        <f t="shared" si="35"/>
        <v>166</v>
      </c>
      <c r="C381" s="62" t="s">
        <v>53</v>
      </c>
      <c r="D381" s="23" t="s">
        <v>168</v>
      </c>
      <c r="E381" s="63">
        <f t="shared" ref="E381:E389" si="39">SUM(F381:T381)</f>
        <v>5210797.0075652357</v>
      </c>
      <c r="P381" s="64">
        <v>5091457.1516033392</v>
      </c>
      <c r="R381" s="64"/>
      <c r="S381" s="65">
        <v>8000</v>
      </c>
      <c r="T381" s="66">
        <v>111339.85596189606</v>
      </c>
      <c r="U381" s="67"/>
    </row>
    <row r="382" spans="1:21" x14ac:dyDescent="0.25">
      <c r="A382" s="60">
        <f t="shared" si="34"/>
        <v>355</v>
      </c>
      <c r="B382" s="61">
        <f t="shared" si="35"/>
        <v>167</v>
      </c>
      <c r="C382" s="62" t="s">
        <v>53</v>
      </c>
      <c r="D382" s="23" t="s">
        <v>173</v>
      </c>
      <c r="E382" s="63">
        <f t="shared" si="39"/>
        <v>5624810.6769190598</v>
      </c>
      <c r="P382" s="64">
        <v>5496610.9284329917</v>
      </c>
      <c r="R382" s="64"/>
      <c r="S382" s="65">
        <v>8000</v>
      </c>
      <c r="T382" s="66">
        <v>120199.7484860679</v>
      </c>
      <c r="U382" s="67"/>
    </row>
    <row r="383" spans="1:21" x14ac:dyDescent="0.25">
      <c r="A383" s="60">
        <f t="shared" si="34"/>
        <v>356</v>
      </c>
      <c r="B383" s="61">
        <f t="shared" si="35"/>
        <v>168</v>
      </c>
      <c r="C383" s="62" t="s">
        <v>53</v>
      </c>
      <c r="D383" s="23" t="s">
        <v>174</v>
      </c>
      <c r="E383" s="63">
        <f t="shared" si="39"/>
        <v>5399848.9532705778</v>
      </c>
      <c r="P383" s="64">
        <v>5276463.3856705874</v>
      </c>
      <c r="R383" s="64"/>
      <c r="S383" s="65">
        <v>8000</v>
      </c>
      <c r="T383" s="66">
        <v>115385.56759999036</v>
      </c>
      <c r="U383" s="67"/>
    </row>
    <row r="384" spans="1:21" x14ac:dyDescent="0.25">
      <c r="A384" s="60">
        <f t="shared" si="34"/>
        <v>357</v>
      </c>
      <c r="B384" s="61">
        <f t="shared" si="35"/>
        <v>169</v>
      </c>
      <c r="C384" s="62" t="s">
        <v>53</v>
      </c>
      <c r="D384" s="23" t="s">
        <v>176</v>
      </c>
      <c r="E384" s="63">
        <f t="shared" si="39"/>
        <v>6084909.9629305918</v>
      </c>
      <c r="P384" s="64">
        <v>5946864.0897238767</v>
      </c>
      <c r="R384" s="64"/>
      <c r="S384" s="65">
        <v>8000</v>
      </c>
      <c r="T384" s="66">
        <v>130045.87320671468</v>
      </c>
      <c r="U384" s="67"/>
    </row>
    <row r="385" spans="1:21" x14ac:dyDescent="0.25">
      <c r="A385" s="60">
        <f t="shared" si="34"/>
        <v>358</v>
      </c>
      <c r="B385" s="61">
        <f t="shared" si="35"/>
        <v>170</v>
      </c>
      <c r="C385" s="62" t="s">
        <v>53</v>
      </c>
      <c r="D385" s="23" t="s">
        <v>177</v>
      </c>
      <c r="E385" s="63">
        <f t="shared" si="39"/>
        <v>5504718.9605190475</v>
      </c>
      <c r="P385" s="64">
        <v>5379089.1747639403</v>
      </c>
      <c r="R385" s="64"/>
      <c r="S385" s="65">
        <v>8000</v>
      </c>
      <c r="T385" s="66">
        <v>117629.78575510764</v>
      </c>
      <c r="U385" s="67"/>
    </row>
    <row r="386" spans="1:21" x14ac:dyDescent="0.25">
      <c r="A386" s="60">
        <f t="shared" si="34"/>
        <v>359</v>
      </c>
      <c r="B386" s="61">
        <f t="shared" si="35"/>
        <v>171</v>
      </c>
      <c r="C386" s="62" t="s">
        <v>53</v>
      </c>
      <c r="D386" s="23" t="s">
        <v>178</v>
      </c>
      <c r="E386" s="63">
        <f t="shared" si="39"/>
        <v>5333411.6591837369</v>
      </c>
      <c r="P386" s="64">
        <v>5211447.8496772051</v>
      </c>
      <c r="R386" s="64"/>
      <c r="S386" s="65">
        <v>8000</v>
      </c>
      <c r="T386" s="66">
        <v>113963.80950653198</v>
      </c>
      <c r="U386" s="67"/>
    </row>
    <row r="387" spans="1:21" x14ac:dyDescent="0.25">
      <c r="A387" s="60">
        <f t="shared" si="34"/>
        <v>360</v>
      </c>
      <c r="B387" s="61">
        <f t="shared" si="35"/>
        <v>172</v>
      </c>
      <c r="C387" s="62" t="s">
        <v>53</v>
      </c>
      <c r="D387" s="23" t="s">
        <v>165</v>
      </c>
      <c r="E387" s="63">
        <f t="shared" si="39"/>
        <v>6176744.8048835434</v>
      </c>
      <c r="P387" s="64">
        <v>6036733.6660590358</v>
      </c>
      <c r="R387" s="64"/>
      <c r="S387" s="65">
        <v>8000</v>
      </c>
      <c r="T387" s="66">
        <v>132011.13882450783</v>
      </c>
      <c r="U387" s="67"/>
    </row>
    <row r="388" spans="1:21" x14ac:dyDescent="0.25">
      <c r="A388" s="60">
        <f t="shared" si="34"/>
        <v>361</v>
      </c>
      <c r="B388" s="61">
        <f t="shared" si="35"/>
        <v>173</v>
      </c>
      <c r="C388" s="62" t="s">
        <v>53</v>
      </c>
      <c r="D388" s="23" t="s">
        <v>166</v>
      </c>
      <c r="E388" s="63">
        <f t="shared" si="39"/>
        <v>5767861.1038073096</v>
      </c>
      <c r="P388" s="64">
        <v>5636600.0761858337</v>
      </c>
      <c r="R388" s="64"/>
      <c r="S388" s="65">
        <v>8000</v>
      </c>
      <c r="T388" s="66">
        <v>123261.02762147645</v>
      </c>
      <c r="U388" s="67"/>
    </row>
    <row r="389" spans="1:21" x14ac:dyDescent="0.25">
      <c r="A389" s="60">
        <f t="shared" si="34"/>
        <v>362</v>
      </c>
      <c r="B389" s="61">
        <f t="shared" si="35"/>
        <v>174</v>
      </c>
      <c r="C389" s="62" t="s">
        <v>53</v>
      </c>
      <c r="D389" s="23" t="s">
        <v>191</v>
      </c>
      <c r="E389" s="63">
        <f t="shared" si="39"/>
        <v>7249665.0554657253</v>
      </c>
      <c r="P389" s="64">
        <v>7086693.4232787583</v>
      </c>
      <c r="R389" s="64"/>
      <c r="S389" s="65">
        <v>8000</v>
      </c>
      <c r="T389" s="66">
        <v>154971.63218696654</v>
      </c>
      <c r="U389" s="67"/>
    </row>
    <row r="390" spans="1:21" x14ac:dyDescent="0.25">
      <c r="A390" s="60">
        <f t="shared" si="34"/>
        <v>363</v>
      </c>
      <c r="B390" s="61">
        <f t="shared" si="35"/>
        <v>175</v>
      </c>
      <c r="C390" s="62" t="s">
        <v>64</v>
      </c>
      <c r="D390" s="62" t="s">
        <v>778</v>
      </c>
      <c r="E390" s="63">
        <f t="shared" si="37"/>
        <v>5484113.5200000005</v>
      </c>
      <c r="F390" s="64">
        <v>2690748.568494</v>
      </c>
      <c r="G390" s="64">
        <v>1668343.007394</v>
      </c>
      <c r="H390" s="64"/>
      <c r="I390" s="64">
        <v>685043.90719799988</v>
      </c>
      <c r="J390" s="64">
        <v>0</v>
      </c>
      <c r="K390" s="64"/>
      <c r="L390" s="64">
        <v>262232.90488164005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40971.241300000002</v>
      </c>
      <c r="S390" s="65">
        <v>20734.3613</v>
      </c>
      <c r="T390" s="66">
        <v>116039.52943236002</v>
      </c>
      <c r="U390" s="67"/>
    </row>
    <row r="391" spans="1:21" x14ac:dyDescent="0.25">
      <c r="A391" s="60">
        <f t="shared" si="34"/>
        <v>364</v>
      </c>
      <c r="B391" s="61">
        <f t="shared" si="35"/>
        <v>176</v>
      </c>
      <c r="C391" s="62" t="s">
        <v>64</v>
      </c>
      <c r="D391" s="62" t="s">
        <v>779</v>
      </c>
      <c r="E391" s="63">
        <f t="shared" si="37"/>
        <v>10279133.729999999</v>
      </c>
      <c r="F391" s="64">
        <v>4401647.2299239999</v>
      </c>
      <c r="G391" s="64">
        <v>2728944.7063199999</v>
      </c>
      <c r="H391" s="64">
        <v>1282797.7023540002</v>
      </c>
      <c r="I391" s="64">
        <v>1125093.5331300001</v>
      </c>
      <c r="J391" s="64">
        <v>0</v>
      </c>
      <c r="K391" s="64"/>
      <c r="L391" s="64">
        <v>428109.96493607998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66127.388600000006</v>
      </c>
      <c r="S391" s="65">
        <v>28463.998599999999</v>
      </c>
      <c r="T391" s="66">
        <v>217949.20613592002</v>
      </c>
      <c r="U391" s="67"/>
    </row>
    <row r="392" spans="1:21" x14ac:dyDescent="0.25">
      <c r="A392" s="60">
        <f t="shared" si="34"/>
        <v>365</v>
      </c>
      <c r="B392" s="61">
        <f t="shared" si="35"/>
        <v>177</v>
      </c>
      <c r="C392" s="62" t="s">
        <v>64</v>
      </c>
      <c r="D392" s="62" t="s">
        <v>780</v>
      </c>
      <c r="E392" s="63">
        <f t="shared" si="37"/>
        <v>5796292.5199999996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/>
      <c r="L392" s="64"/>
      <c r="M392" s="64">
        <v>0</v>
      </c>
      <c r="N392" s="64">
        <v>0</v>
      </c>
      <c r="O392" s="64">
        <v>0</v>
      </c>
      <c r="P392" s="64">
        <v>5611851.8558339998</v>
      </c>
      <c r="Q392" s="64">
        <v>0</v>
      </c>
      <c r="R392" s="64">
        <v>37720.83</v>
      </c>
      <c r="S392" s="65">
        <v>24000</v>
      </c>
      <c r="T392" s="66">
        <v>122719.834166</v>
      </c>
      <c r="U392" s="67"/>
    </row>
    <row r="393" spans="1:21" x14ac:dyDescent="0.25">
      <c r="A393" s="60">
        <f t="shared" si="34"/>
        <v>366</v>
      </c>
      <c r="B393" s="61">
        <f t="shared" si="35"/>
        <v>178</v>
      </c>
      <c r="C393" s="62" t="s">
        <v>55</v>
      </c>
      <c r="D393" s="62" t="s">
        <v>471</v>
      </c>
      <c r="E393" s="63">
        <f t="shared" si="37"/>
        <v>8034936.8781599998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/>
      <c r="L393" s="64"/>
      <c r="M393" s="64">
        <v>0</v>
      </c>
      <c r="N393" s="64">
        <v>7785131.3599999994</v>
      </c>
      <c r="O393" s="64">
        <v>0</v>
      </c>
      <c r="P393" s="64">
        <v>0</v>
      </c>
      <c r="Q393" s="64">
        <v>0</v>
      </c>
      <c r="R393" s="64">
        <v>44378.15</v>
      </c>
      <c r="S393" s="65">
        <v>24000</v>
      </c>
      <c r="T393" s="66">
        <v>181427.36816000004</v>
      </c>
      <c r="U393" s="67"/>
    </row>
    <row r="394" spans="1:21" x14ac:dyDescent="0.25">
      <c r="A394" s="60">
        <f t="shared" si="34"/>
        <v>367</v>
      </c>
      <c r="B394" s="61">
        <f t="shared" si="35"/>
        <v>179</v>
      </c>
      <c r="C394" s="62" t="s">
        <v>55</v>
      </c>
      <c r="D394" s="62" t="s">
        <v>787</v>
      </c>
      <c r="E394" s="63">
        <f t="shared" si="37"/>
        <v>5522983.8570600003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/>
      <c r="L394" s="64"/>
      <c r="M394" s="64">
        <v>0</v>
      </c>
      <c r="N394" s="92">
        <v>5277865.75</v>
      </c>
      <c r="O394" s="64">
        <v>0</v>
      </c>
      <c r="P394" s="64">
        <v>0</v>
      </c>
      <c r="Q394" s="64">
        <v>0</v>
      </c>
      <c r="R394" s="64">
        <v>45375.360000000001</v>
      </c>
      <c r="S394" s="65">
        <v>24000</v>
      </c>
      <c r="T394" s="66">
        <v>175742.74705999999</v>
      </c>
      <c r="U394" s="67"/>
    </row>
    <row r="395" spans="1:21" x14ac:dyDescent="0.25">
      <c r="A395" s="60">
        <f t="shared" si="34"/>
        <v>368</v>
      </c>
      <c r="B395" s="61">
        <f t="shared" si="35"/>
        <v>180</v>
      </c>
      <c r="C395" s="62" t="s">
        <v>55</v>
      </c>
      <c r="D395" s="62" t="s">
        <v>370</v>
      </c>
      <c r="E395" s="63">
        <f t="shared" si="37"/>
        <v>4380113.423866</v>
      </c>
      <c r="F395" s="64">
        <v>2339408.797698</v>
      </c>
      <c r="G395" s="64">
        <v>1449960.6375240001</v>
      </c>
      <c r="H395" s="64"/>
      <c r="I395" s="64"/>
      <c r="J395" s="64">
        <v>0</v>
      </c>
      <c r="K395" s="64"/>
      <c r="L395" s="64">
        <v>228234.10595495999</v>
      </c>
      <c r="M395" s="64">
        <v>0</v>
      </c>
      <c r="N395" s="64"/>
      <c r="O395" s="64">
        <v>0</v>
      </c>
      <c r="P395" s="64">
        <v>0</v>
      </c>
      <c r="Q395" s="64">
        <v>0</v>
      </c>
      <c r="R395" s="64">
        <v>99074.368199999997</v>
      </c>
      <c r="S395" s="65">
        <v>26379.8482</v>
      </c>
      <c r="T395" s="66">
        <v>237055.66628903997</v>
      </c>
      <c r="U395" s="67"/>
    </row>
    <row r="396" spans="1:21" x14ac:dyDescent="0.25">
      <c r="A396" s="60">
        <f t="shared" si="34"/>
        <v>369</v>
      </c>
      <c r="B396" s="61">
        <f t="shared" si="35"/>
        <v>181</v>
      </c>
      <c r="C396" s="62" t="s">
        <v>55</v>
      </c>
      <c r="D396" s="62" t="s">
        <v>782</v>
      </c>
      <c r="E396" s="63">
        <f t="shared" si="37"/>
        <v>4327641.5702397395</v>
      </c>
      <c r="F396" s="64"/>
      <c r="G396" s="64"/>
      <c r="H396" s="64">
        <v>0</v>
      </c>
      <c r="I396" s="64">
        <v>1796569.131756</v>
      </c>
      <c r="J396" s="64"/>
      <c r="K396" s="64"/>
      <c r="L396" s="64"/>
      <c r="M396" s="64">
        <v>0</v>
      </c>
      <c r="N396" s="64">
        <v>0</v>
      </c>
      <c r="O396" s="89">
        <v>2289454.4300000002</v>
      </c>
      <c r="P396" s="64">
        <v>0</v>
      </c>
      <c r="Q396" s="64"/>
      <c r="R396" s="64"/>
      <c r="S396" s="65"/>
      <c r="T396" s="66">
        <v>241618.00848373998</v>
      </c>
      <c r="U396" s="67"/>
    </row>
    <row r="397" spans="1:21" x14ac:dyDescent="0.25">
      <c r="A397" s="60">
        <f t="shared" si="34"/>
        <v>370</v>
      </c>
      <c r="B397" s="61">
        <f t="shared" si="35"/>
        <v>182</v>
      </c>
      <c r="C397" s="62" t="s">
        <v>55</v>
      </c>
      <c r="D397" s="62" t="s">
        <v>783</v>
      </c>
      <c r="E397" s="63">
        <f t="shared" si="37"/>
        <v>578480.11581599992</v>
      </c>
      <c r="F397" s="64">
        <v>0</v>
      </c>
      <c r="G397" s="64">
        <v>0</v>
      </c>
      <c r="H397" s="64">
        <v>448683.30485999992</v>
      </c>
      <c r="I397" s="64">
        <v>0</v>
      </c>
      <c r="J397" s="64">
        <v>0</v>
      </c>
      <c r="K397" s="64"/>
      <c r="L397" s="64"/>
      <c r="M397" s="64">
        <v>0</v>
      </c>
      <c r="N397" s="64"/>
      <c r="O397" s="64">
        <v>0</v>
      </c>
      <c r="P397" s="64">
        <v>0</v>
      </c>
      <c r="Q397" s="64">
        <v>0</v>
      </c>
      <c r="R397" s="64"/>
      <c r="S397" s="65"/>
      <c r="T397" s="66">
        <v>129796.81095600002</v>
      </c>
      <c r="U397" s="67"/>
    </row>
    <row r="398" spans="1:21" x14ac:dyDescent="0.25">
      <c r="A398" s="60">
        <f t="shared" si="34"/>
        <v>371</v>
      </c>
      <c r="B398" s="61">
        <f t="shared" si="35"/>
        <v>183</v>
      </c>
      <c r="C398" s="62" t="s">
        <v>55</v>
      </c>
      <c r="D398" s="62" t="s">
        <v>784</v>
      </c>
      <c r="E398" s="63">
        <f t="shared" si="37"/>
        <v>7445775.2167851608</v>
      </c>
      <c r="F398" s="64"/>
      <c r="G398" s="64">
        <v>2485979.4267953397</v>
      </c>
      <c r="H398" s="64">
        <v>0</v>
      </c>
      <c r="I398" s="64">
        <v>1661185.08</v>
      </c>
      <c r="J398" s="64"/>
      <c r="K398" s="64"/>
      <c r="L398" s="64"/>
      <c r="M398" s="64">
        <v>0</v>
      </c>
      <c r="N398" s="64">
        <v>0</v>
      </c>
      <c r="O398" s="89">
        <v>3010833.7</v>
      </c>
      <c r="P398" s="64">
        <v>0</v>
      </c>
      <c r="Q398" s="64"/>
      <c r="R398" s="64"/>
      <c r="S398" s="65"/>
      <c r="T398" s="66">
        <v>287777.00998981996</v>
      </c>
      <c r="U398" s="67"/>
    </row>
    <row r="399" spans="1:21" x14ac:dyDescent="0.25">
      <c r="A399" s="60">
        <f t="shared" si="34"/>
        <v>372</v>
      </c>
      <c r="B399" s="61">
        <f t="shared" si="35"/>
        <v>184</v>
      </c>
      <c r="C399" s="62" t="s">
        <v>55</v>
      </c>
      <c r="D399" s="62" t="s">
        <v>785</v>
      </c>
      <c r="E399" s="63">
        <f t="shared" si="37"/>
        <v>3095120.1451458</v>
      </c>
      <c r="F399" s="64"/>
      <c r="G399" s="64"/>
      <c r="H399" s="64">
        <v>0</v>
      </c>
      <c r="I399" s="64">
        <v>1490189.54</v>
      </c>
      <c r="J399" s="64"/>
      <c r="K399" s="64"/>
      <c r="L399" s="64"/>
      <c r="M399" s="64">
        <v>0</v>
      </c>
      <c r="N399" s="64">
        <v>0</v>
      </c>
      <c r="O399" s="64">
        <v>1396600.96</v>
      </c>
      <c r="P399" s="64">
        <v>0</v>
      </c>
      <c r="Q399" s="64"/>
      <c r="R399" s="64"/>
      <c r="S399" s="65"/>
      <c r="T399" s="66">
        <v>208329.64514579996</v>
      </c>
      <c r="U399" s="67"/>
    </row>
    <row r="400" spans="1:21" x14ac:dyDescent="0.25">
      <c r="A400" s="60">
        <f t="shared" si="34"/>
        <v>373</v>
      </c>
      <c r="B400" s="61">
        <f t="shared" si="35"/>
        <v>185</v>
      </c>
      <c r="C400" s="62" t="s">
        <v>55</v>
      </c>
      <c r="D400" s="62" t="s">
        <v>786</v>
      </c>
      <c r="E400" s="63">
        <f t="shared" si="37"/>
        <v>601192.01953599998</v>
      </c>
      <c r="F400" s="64">
        <v>0</v>
      </c>
      <c r="G400" s="64">
        <v>0</v>
      </c>
      <c r="H400" s="64">
        <v>467037.62309399992</v>
      </c>
      <c r="I400" s="64">
        <v>0</v>
      </c>
      <c r="J400" s="64">
        <v>0</v>
      </c>
      <c r="K400" s="64"/>
      <c r="L400" s="64"/>
      <c r="M400" s="64">
        <v>0</v>
      </c>
      <c r="N400" s="64"/>
      <c r="O400" s="64">
        <v>0</v>
      </c>
      <c r="P400" s="64">
        <v>0</v>
      </c>
      <c r="Q400" s="64">
        <v>0</v>
      </c>
      <c r="R400" s="64"/>
      <c r="S400" s="65"/>
      <c r="T400" s="66">
        <v>134154.396442</v>
      </c>
      <c r="U400" s="67"/>
    </row>
    <row r="401" spans="1:21" x14ac:dyDescent="0.25">
      <c r="A401" s="60">
        <f t="shared" si="34"/>
        <v>374</v>
      </c>
      <c r="B401" s="61">
        <f t="shared" si="35"/>
        <v>186</v>
      </c>
      <c r="C401" s="62" t="s">
        <v>55</v>
      </c>
      <c r="D401" s="62" t="s">
        <v>788</v>
      </c>
      <c r="E401" s="63">
        <f t="shared" si="37"/>
        <v>549084.61</v>
      </c>
      <c r="F401" s="64">
        <v>0</v>
      </c>
      <c r="G401" s="64">
        <v>0</v>
      </c>
      <c r="H401" s="64">
        <v>537334.19934599998</v>
      </c>
      <c r="I401" s="64">
        <v>0</v>
      </c>
      <c r="J401" s="64">
        <v>0</v>
      </c>
      <c r="K401" s="64"/>
      <c r="L401" s="64"/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/>
      <c r="S401" s="65"/>
      <c r="T401" s="66">
        <v>11750.410653999999</v>
      </c>
      <c r="U401" s="67"/>
    </row>
    <row r="402" spans="1:21" x14ac:dyDescent="0.25">
      <c r="A402" s="60">
        <f t="shared" si="34"/>
        <v>375</v>
      </c>
      <c r="B402" s="61">
        <f t="shared" si="35"/>
        <v>187</v>
      </c>
      <c r="C402" s="62" t="s">
        <v>65</v>
      </c>
      <c r="D402" s="62" t="s">
        <v>799</v>
      </c>
      <c r="E402" s="63">
        <f t="shared" si="37"/>
        <v>526378.2994685102</v>
      </c>
      <c r="F402" s="64"/>
      <c r="G402" s="64"/>
      <c r="H402" s="64"/>
      <c r="I402" s="64">
        <v>492037.06</v>
      </c>
      <c r="J402" s="64">
        <v>0</v>
      </c>
      <c r="K402" s="64"/>
      <c r="L402" s="64"/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/>
      <c r="S402" s="65"/>
      <c r="T402" s="66">
        <v>34341.239468510234</v>
      </c>
      <c r="U402" s="67"/>
    </row>
    <row r="403" spans="1:21" x14ac:dyDescent="0.25">
      <c r="A403" s="60">
        <f t="shared" si="34"/>
        <v>376</v>
      </c>
      <c r="B403" s="61">
        <f t="shared" si="35"/>
        <v>188</v>
      </c>
      <c r="C403" s="62" t="s">
        <v>65</v>
      </c>
      <c r="D403" s="62" t="s">
        <v>800</v>
      </c>
      <c r="E403" s="63">
        <f t="shared" si="37"/>
        <v>520542.46</v>
      </c>
      <c r="F403" s="64"/>
      <c r="G403" s="64"/>
      <c r="H403" s="64"/>
      <c r="I403" s="64">
        <v>520542.46</v>
      </c>
      <c r="J403" s="64"/>
      <c r="K403" s="64"/>
      <c r="L403" s="64"/>
      <c r="M403" s="64"/>
      <c r="N403" s="64"/>
      <c r="O403" s="64"/>
      <c r="P403" s="64"/>
      <c r="Q403" s="64"/>
      <c r="R403" s="64"/>
      <c r="S403" s="65"/>
      <c r="T403" s="66"/>
      <c r="U403" s="67"/>
    </row>
    <row r="404" spans="1:21" x14ac:dyDescent="0.25">
      <c r="A404" s="60">
        <f t="shared" si="34"/>
        <v>377</v>
      </c>
      <c r="B404" s="61">
        <f t="shared" si="35"/>
        <v>189</v>
      </c>
      <c r="C404" s="62" t="s">
        <v>65</v>
      </c>
      <c r="D404" s="62" t="s">
        <v>803</v>
      </c>
      <c r="E404" s="63">
        <f t="shared" si="37"/>
        <v>6350031.4946001265</v>
      </c>
      <c r="F404" s="64">
        <v>0</v>
      </c>
      <c r="G404" s="64">
        <v>0</v>
      </c>
      <c r="H404" s="64">
        <v>3751583.61</v>
      </c>
      <c r="I404" s="64">
        <v>2478946.2599999998</v>
      </c>
      <c r="J404" s="64">
        <v>0</v>
      </c>
      <c r="K404" s="64"/>
      <c r="L404" s="64"/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/>
      <c r="S404" s="65"/>
      <c r="T404" s="66">
        <v>119501.62460012714</v>
      </c>
      <c r="U404" s="67"/>
    </row>
    <row r="405" spans="1:21" x14ac:dyDescent="0.25">
      <c r="A405" s="60">
        <f t="shared" si="34"/>
        <v>378</v>
      </c>
      <c r="B405" s="61">
        <f t="shared" si="35"/>
        <v>190</v>
      </c>
      <c r="C405" s="62" t="s">
        <v>65</v>
      </c>
      <c r="D405" s="62" t="s">
        <v>804</v>
      </c>
      <c r="E405" s="63">
        <f t="shared" si="37"/>
        <v>1949615.1872890538</v>
      </c>
      <c r="F405" s="64">
        <v>0</v>
      </c>
      <c r="G405" s="64">
        <v>0</v>
      </c>
      <c r="H405" s="64">
        <v>1912288.29</v>
      </c>
      <c r="I405" s="64">
        <v>0</v>
      </c>
      <c r="J405" s="64">
        <v>0</v>
      </c>
      <c r="K405" s="64"/>
      <c r="L405" s="64"/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/>
      <c r="S405" s="65"/>
      <c r="T405" s="66">
        <v>37326.897289053828</v>
      </c>
      <c r="U405" s="67"/>
    </row>
    <row r="406" spans="1:21" x14ac:dyDescent="0.25">
      <c r="A406" s="60">
        <f t="shared" si="34"/>
        <v>379</v>
      </c>
      <c r="B406" s="61">
        <f t="shared" si="35"/>
        <v>191</v>
      </c>
      <c r="C406" s="62" t="s">
        <v>65</v>
      </c>
      <c r="D406" s="62" t="s">
        <v>382</v>
      </c>
      <c r="E406" s="63">
        <f t="shared" si="37"/>
        <v>466454.1786358984</v>
      </c>
      <c r="F406" s="64"/>
      <c r="G406" s="64"/>
      <c r="H406" s="64"/>
      <c r="I406" s="64">
        <v>422534</v>
      </c>
      <c r="J406" s="64">
        <v>0</v>
      </c>
      <c r="K406" s="64"/>
      <c r="L406" s="64"/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/>
      <c r="S406" s="65"/>
      <c r="T406" s="66">
        <v>43920.178635898366</v>
      </c>
      <c r="U406" s="67"/>
    </row>
    <row r="407" spans="1:21" x14ac:dyDescent="0.25">
      <c r="A407" s="60">
        <f t="shared" si="34"/>
        <v>380</v>
      </c>
      <c r="B407" s="61">
        <f t="shared" si="35"/>
        <v>192</v>
      </c>
      <c r="C407" s="62" t="s">
        <v>65</v>
      </c>
      <c r="D407" s="62" t="s">
        <v>806</v>
      </c>
      <c r="E407" s="63">
        <f t="shared" si="37"/>
        <v>721601.24847460375</v>
      </c>
      <c r="F407" s="64">
        <v>0</v>
      </c>
      <c r="G407" s="64">
        <v>0</v>
      </c>
      <c r="H407" s="64">
        <v>709630.28</v>
      </c>
      <c r="I407" s="64">
        <v>0</v>
      </c>
      <c r="J407" s="64">
        <v>0</v>
      </c>
      <c r="K407" s="64"/>
      <c r="L407" s="64"/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/>
      <c r="S407" s="65"/>
      <c r="T407" s="66">
        <v>11970.968474603775</v>
      </c>
      <c r="U407" s="67"/>
    </row>
    <row r="408" spans="1:21" x14ac:dyDescent="0.25">
      <c r="A408" s="60">
        <f t="shared" si="34"/>
        <v>381</v>
      </c>
      <c r="B408" s="61">
        <f t="shared" si="35"/>
        <v>193</v>
      </c>
      <c r="C408" s="62" t="s">
        <v>65</v>
      </c>
      <c r="D408" s="62" t="s">
        <v>809</v>
      </c>
      <c r="E408" s="63">
        <f t="shared" si="37"/>
        <v>7435273.7066505384</v>
      </c>
      <c r="F408" s="64"/>
      <c r="G408" s="64"/>
      <c r="H408" s="64"/>
      <c r="I408" s="64">
        <v>0</v>
      </c>
      <c r="J408" s="64">
        <v>0</v>
      </c>
      <c r="K408" s="64"/>
      <c r="L408" s="64"/>
      <c r="M408" s="64">
        <v>0</v>
      </c>
      <c r="N408" s="64">
        <v>7127323.29</v>
      </c>
      <c r="O408" s="64">
        <v>0</v>
      </c>
      <c r="P408" s="64"/>
      <c r="Q408" s="64">
        <v>0</v>
      </c>
      <c r="R408" s="64"/>
      <c r="S408" s="65"/>
      <c r="T408" s="66">
        <v>307950.4166505388</v>
      </c>
      <c r="U408" s="67"/>
    </row>
    <row r="409" spans="1:21" x14ac:dyDescent="0.25">
      <c r="A409" s="60">
        <f t="shared" si="34"/>
        <v>382</v>
      </c>
      <c r="B409" s="61">
        <f t="shared" si="35"/>
        <v>194</v>
      </c>
      <c r="C409" s="62" t="s">
        <v>65</v>
      </c>
      <c r="D409" s="62" t="s">
        <v>218</v>
      </c>
      <c r="E409" s="63">
        <f t="shared" si="37"/>
        <v>1465551.9724496503</v>
      </c>
      <c r="F409" s="64">
        <v>0</v>
      </c>
      <c r="G409" s="64">
        <v>0</v>
      </c>
      <c r="H409" s="64">
        <v>1437331.93</v>
      </c>
      <c r="I409" s="64">
        <v>0</v>
      </c>
      <c r="J409" s="64">
        <v>0</v>
      </c>
      <c r="K409" s="64"/>
      <c r="L409" s="64"/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/>
      <c r="S409" s="65"/>
      <c r="T409" s="66">
        <v>28220.042449650358</v>
      </c>
      <c r="U409" s="67"/>
    </row>
    <row r="410" spans="1:21" x14ac:dyDescent="0.25">
      <c r="A410" s="60">
        <f t="shared" ref="A410:A473" si="40">+A409+1</f>
        <v>383</v>
      </c>
      <c r="B410" s="61">
        <f t="shared" ref="B410:B473" si="41">+B409+1</f>
        <v>195</v>
      </c>
      <c r="C410" s="62" t="s">
        <v>65</v>
      </c>
      <c r="D410" s="62" t="s">
        <v>810</v>
      </c>
      <c r="E410" s="63">
        <f t="shared" si="37"/>
        <v>3991090.0004099631</v>
      </c>
      <c r="F410" s="64">
        <v>0</v>
      </c>
      <c r="G410" s="64">
        <v>0</v>
      </c>
      <c r="H410" s="64">
        <v>3374225.58</v>
      </c>
      <c r="I410" s="64">
        <v>548136.26</v>
      </c>
      <c r="J410" s="64">
        <v>0</v>
      </c>
      <c r="K410" s="64"/>
      <c r="L410" s="64"/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/>
      <c r="S410" s="65"/>
      <c r="T410" s="66">
        <v>68728.160409963122</v>
      </c>
      <c r="U410" s="67"/>
    </row>
    <row r="411" spans="1:21" x14ac:dyDescent="0.25">
      <c r="A411" s="60">
        <f t="shared" si="40"/>
        <v>384</v>
      </c>
      <c r="B411" s="61">
        <f t="shared" si="41"/>
        <v>196</v>
      </c>
      <c r="C411" s="62" t="s">
        <v>65</v>
      </c>
      <c r="D411" s="62" t="s">
        <v>812</v>
      </c>
      <c r="E411" s="63">
        <f t="shared" si="37"/>
        <v>640276.6</v>
      </c>
      <c r="F411" s="64"/>
      <c r="G411" s="64"/>
      <c r="H411" s="64"/>
      <c r="I411" s="64">
        <v>640276.6</v>
      </c>
      <c r="J411" s="64"/>
      <c r="K411" s="64"/>
      <c r="L411" s="64"/>
      <c r="M411" s="64"/>
      <c r="N411" s="64"/>
      <c r="O411" s="64"/>
      <c r="P411" s="64"/>
      <c r="Q411" s="64"/>
      <c r="R411" s="64"/>
      <c r="S411" s="65"/>
      <c r="T411" s="66"/>
      <c r="U411" s="67"/>
    </row>
    <row r="412" spans="1:21" x14ac:dyDescent="0.25">
      <c r="A412" s="60">
        <f t="shared" si="40"/>
        <v>385</v>
      </c>
      <c r="B412" s="61">
        <f t="shared" si="41"/>
        <v>197</v>
      </c>
      <c r="C412" s="62" t="s">
        <v>65</v>
      </c>
      <c r="D412" s="62" t="s">
        <v>813</v>
      </c>
      <c r="E412" s="63">
        <f t="shared" si="37"/>
        <v>1357157.63</v>
      </c>
      <c r="F412" s="64"/>
      <c r="G412" s="64"/>
      <c r="H412" s="64"/>
      <c r="I412" s="64">
        <v>1357157.63</v>
      </c>
      <c r="J412" s="64"/>
      <c r="K412" s="64"/>
      <c r="L412" s="64"/>
      <c r="M412" s="64"/>
      <c r="N412" s="64"/>
      <c r="O412" s="64"/>
      <c r="P412" s="64"/>
      <c r="Q412" s="64"/>
      <c r="R412" s="64"/>
      <c r="S412" s="65"/>
      <c r="T412" s="66"/>
      <c r="U412" s="67"/>
    </row>
    <row r="413" spans="1:21" x14ac:dyDescent="0.25">
      <c r="A413" s="60">
        <f t="shared" si="40"/>
        <v>386</v>
      </c>
      <c r="B413" s="61">
        <f t="shared" si="41"/>
        <v>198</v>
      </c>
      <c r="C413" s="62" t="s">
        <v>65</v>
      </c>
      <c r="D413" s="62" t="s">
        <v>814</v>
      </c>
      <c r="E413" s="63">
        <f t="shared" si="37"/>
        <v>530132.51</v>
      </c>
      <c r="F413" s="64"/>
      <c r="G413" s="64"/>
      <c r="H413" s="64"/>
      <c r="I413" s="64">
        <v>530132.51</v>
      </c>
      <c r="J413" s="64"/>
      <c r="K413" s="64"/>
      <c r="L413" s="64"/>
      <c r="M413" s="64"/>
      <c r="N413" s="64"/>
      <c r="O413" s="64"/>
      <c r="P413" s="64"/>
      <c r="Q413" s="64"/>
      <c r="R413" s="64"/>
      <c r="S413" s="65"/>
      <c r="T413" s="66"/>
      <c r="U413" s="67"/>
    </row>
    <row r="414" spans="1:21" x14ac:dyDescent="0.25">
      <c r="A414" s="60">
        <f t="shared" si="40"/>
        <v>387</v>
      </c>
      <c r="B414" s="61">
        <f t="shared" si="41"/>
        <v>199</v>
      </c>
      <c r="C414" s="62" t="s">
        <v>56</v>
      </c>
      <c r="D414" s="62" t="s">
        <v>795</v>
      </c>
      <c r="E414" s="63">
        <f t="shared" si="37"/>
        <v>3025771.3497837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/>
      <c r="L414" s="64"/>
      <c r="M414" s="64">
        <v>0</v>
      </c>
      <c r="N414" s="64"/>
      <c r="O414" s="64">
        <v>0</v>
      </c>
      <c r="P414" s="64">
        <v>0</v>
      </c>
      <c r="Q414" s="64">
        <v>1825581.15</v>
      </c>
      <c r="R414" s="64"/>
      <c r="S414" s="65"/>
      <c r="T414" s="66">
        <v>1200190.1997837001</v>
      </c>
      <c r="U414" s="67"/>
    </row>
    <row r="415" spans="1:21" x14ac:dyDescent="0.25">
      <c r="A415" s="60">
        <f t="shared" si="40"/>
        <v>388</v>
      </c>
      <c r="B415" s="61">
        <f t="shared" si="41"/>
        <v>200</v>
      </c>
      <c r="C415" s="62" t="s">
        <v>56</v>
      </c>
      <c r="D415" s="62" t="s">
        <v>794</v>
      </c>
      <c r="E415" s="63">
        <f t="shared" si="37"/>
        <v>17852945.477531999</v>
      </c>
      <c r="F415" s="64">
        <v>5026597.2300000004</v>
      </c>
      <c r="G415" s="64">
        <v>2161426.54</v>
      </c>
      <c r="H415" s="64">
        <v>2221327.14</v>
      </c>
      <c r="I415" s="64">
        <v>1568575.74</v>
      </c>
      <c r="J415" s="64"/>
      <c r="K415" s="64"/>
      <c r="L415" s="64"/>
      <c r="M415" s="64"/>
      <c r="N415" s="64"/>
      <c r="O415" s="64">
        <v>0</v>
      </c>
      <c r="P415" s="64"/>
      <c r="Q415" s="64">
        <v>6200769.6399999997</v>
      </c>
      <c r="R415" s="64"/>
      <c r="S415" s="65"/>
      <c r="T415" s="66">
        <v>674249.18753199989</v>
      </c>
      <c r="U415" s="67"/>
    </row>
    <row r="416" spans="1:21" x14ac:dyDescent="0.25">
      <c r="A416" s="60">
        <f t="shared" si="40"/>
        <v>389</v>
      </c>
      <c r="B416" s="61">
        <f t="shared" si="41"/>
        <v>201</v>
      </c>
      <c r="C416" s="62" t="s">
        <v>66</v>
      </c>
      <c r="D416" s="62" t="s">
        <v>796</v>
      </c>
      <c r="E416" s="63">
        <f t="shared" si="37"/>
        <v>27822893.387377333</v>
      </c>
      <c r="F416" s="64"/>
      <c r="G416" s="64"/>
      <c r="H416" s="64">
        <v>3949042.3</v>
      </c>
      <c r="I416" s="64"/>
      <c r="J416" s="64">
        <v>0</v>
      </c>
      <c r="K416" s="64"/>
      <c r="L416" s="64"/>
      <c r="M416" s="64">
        <v>0</v>
      </c>
      <c r="N416" s="64"/>
      <c r="O416" s="64">
        <v>0</v>
      </c>
      <c r="P416" s="64">
        <v>10229706.1</v>
      </c>
      <c r="Q416" s="64">
        <v>12638125.92</v>
      </c>
      <c r="R416" s="64"/>
      <c r="S416" s="64"/>
      <c r="T416" s="66">
        <v>1006019.0673773335</v>
      </c>
      <c r="U416" s="67"/>
    </row>
    <row r="417" spans="1:26" x14ac:dyDescent="0.25">
      <c r="A417" s="60">
        <f t="shared" si="40"/>
        <v>390</v>
      </c>
      <c r="B417" s="61">
        <f t="shared" si="41"/>
        <v>202</v>
      </c>
      <c r="C417" s="62" t="s">
        <v>45</v>
      </c>
      <c r="D417" s="62" t="s">
        <v>820</v>
      </c>
      <c r="E417" s="88">
        <f t="shared" si="37"/>
        <v>3392868.3559438689</v>
      </c>
      <c r="F417" s="64">
        <v>0</v>
      </c>
      <c r="G417" s="64">
        <v>0</v>
      </c>
      <c r="H417" s="64"/>
      <c r="I417" s="64">
        <v>0</v>
      </c>
      <c r="J417" s="64">
        <v>0</v>
      </c>
      <c r="K417" s="64"/>
      <c r="L417" s="64"/>
      <c r="M417" s="64">
        <v>0</v>
      </c>
      <c r="N417" s="64">
        <v>0</v>
      </c>
      <c r="O417" s="64"/>
      <c r="P417" s="64">
        <v>0</v>
      </c>
      <c r="Q417" s="64">
        <v>3272507.9972491194</v>
      </c>
      <c r="R417" s="64"/>
      <c r="S417" s="65"/>
      <c r="T417" s="66">
        <v>120360.35869474964</v>
      </c>
      <c r="U417" s="67"/>
    </row>
    <row r="418" spans="1:26" x14ac:dyDescent="0.25">
      <c r="A418" s="60">
        <f t="shared" si="40"/>
        <v>391</v>
      </c>
      <c r="B418" s="61">
        <f t="shared" si="41"/>
        <v>203</v>
      </c>
      <c r="C418" s="62" t="s">
        <v>45</v>
      </c>
      <c r="D418" s="62" t="s">
        <v>829</v>
      </c>
      <c r="E418" s="88">
        <f>SUBTOTAL(9,F418:T418)</f>
        <v>18481458.828001961</v>
      </c>
      <c r="F418" s="64">
        <v>3661472.2518719994</v>
      </c>
      <c r="G418" s="64">
        <v>1317876.0443460001</v>
      </c>
      <c r="H418" s="64">
        <v>1401977.6916540002</v>
      </c>
      <c r="I418" s="64">
        <v>886159.65735600004</v>
      </c>
      <c r="J418" s="64">
        <v>0</v>
      </c>
      <c r="K418" s="64"/>
      <c r="L418" s="64">
        <v>124380.97009799999</v>
      </c>
      <c r="M418" s="64">
        <v>0</v>
      </c>
      <c r="N418" s="64">
        <v>6856026.5788080012</v>
      </c>
      <c r="O418" s="64"/>
      <c r="P418" s="64"/>
      <c r="Q418" s="64">
        <v>3838143.5148840002</v>
      </c>
      <c r="R418" s="64"/>
      <c r="S418" s="64"/>
      <c r="T418" s="66">
        <v>395422.11898395995</v>
      </c>
      <c r="U418" s="67"/>
    </row>
    <row r="419" spans="1:26" s="74" customFormat="1" x14ac:dyDescent="0.25">
      <c r="A419" s="60">
        <f t="shared" si="40"/>
        <v>392</v>
      </c>
      <c r="B419" s="61">
        <f t="shared" si="41"/>
        <v>204</v>
      </c>
      <c r="C419" s="62" t="s">
        <v>45</v>
      </c>
      <c r="D419" s="62" t="s">
        <v>151</v>
      </c>
      <c r="E419" s="63">
        <f t="shared" si="37"/>
        <v>58317189.102533482</v>
      </c>
      <c r="F419" s="64">
        <v>11786769.199999999</v>
      </c>
      <c r="G419" s="64">
        <v>5983962.0899999999</v>
      </c>
      <c r="H419" s="64">
        <v>4295794.0999999996</v>
      </c>
      <c r="I419" s="64"/>
      <c r="J419" s="64"/>
      <c r="K419" s="64"/>
      <c r="L419" s="64"/>
      <c r="M419" s="64"/>
      <c r="N419" s="64">
        <v>30868652.559999999</v>
      </c>
      <c r="O419" s="64"/>
      <c r="P419" s="64"/>
      <c r="Q419" s="89">
        <v>2361500.36</v>
      </c>
      <c r="R419" s="64">
        <v>1495997.29</v>
      </c>
      <c r="S419" s="64">
        <v>43785.235980799996</v>
      </c>
      <c r="T419" s="66">
        <v>1480728.2665526769</v>
      </c>
      <c r="U419" s="67"/>
      <c r="V419" s="23"/>
    </row>
    <row r="420" spans="1:26" x14ac:dyDescent="0.25">
      <c r="A420" s="60">
        <f t="shared" si="40"/>
        <v>393</v>
      </c>
      <c r="B420" s="61">
        <f t="shared" si="41"/>
        <v>205</v>
      </c>
      <c r="C420" s="62" t="s">
        <v>45</v>
      </c>
      <c r="D420" s="62" t="s">
        <v>822</v>
      </c>
      <c r="E420" s="88">
        <f t="shared" si="37"/>
        <v>16314796.345780578</v>
      </c>
      <c r="F420" s="64">
        <v>3315321.42</v>
      </c>
      <c r="G420" s="64">
        <v>1221730.31</v>
      </c>
      <c r="H420" s="64">
        <v>1207334.4761285561</v>
      </c>
      <c r="I420" s="64">
        <v>839833.16</v>
      </c>
      <c r="J420" s="64">
        <v>0</v>
      </c>
      <c r="K420" s="64"/>
      <c r="L420" s="64">
        <v>115576.72380976702</v>
      </c>
      <c r="M420" s="64"/>
      <c r="N420" s="64">
        <v>5928706.7255004831</v>
      </c>
      <c r="O420" s="64"/>
      <c r="P420" s="64">
        <v>0</v>
      </c>
      <c r="Q420" s="64">
        <v>3320169.8093535295</v>
      </c>
      <c r="R420" s="64"/>
      <c r="S420" s="65"/>
      <c r="T420" s="66">
        <v>366123.72098823986</v>
      </c>
      <c r="U420" s="67"/>
    </row>
    <row r="421" spans="1:26" x14ac:dyDescent="0.25">
      <c r="A421" s="60">
        <f t="shared" si="40"/>
        <v>394</v>
      </c>
      <c r="B421" s="61">
        <f t="shared" si="41"/>
        <v>206</v>
      </c>
      <c r="C421" s="62" t="s">
        <v>45</v>
      </c>
      <c r="D421" s="62" t="s">
        <v>830</v>
      </c>
      <c r="E421" s="88">
        <f>SUBTOTAL(9,F421:T421)</f>
        <v>52108784.005023412</v>
      </c>
      <c r="F421" s="64">
        <v>10289258.887333037</v>
      </c>
      <c r="G421" s="64">
        <v>3743163.2397435009</v>
      </c>
      <c r="H421" s="64">
        <v>3946494.7367781834</v>
      </c>
      <c r="I421" s="64">
        <v>2525483.2241929346</v>
      </c>
      <c r="J421" s="64">
        <v>0</v>
      </c>
      <c r="K421" s="64"/>
      <c r="L421" s="64">
        <v>347129.27930819179</v>
      </c>
      <c r="M421" s="64">
        <v>0</v>
      </c>
      <c r="N421" s="64">
        <v>19311208.02055205</v>
      </c>
      <c r="O421" s="64">
        <v>0</v>
      </c>
      <c r="P421" s="64"/>
      <c r="Q421" s="64">
        <v>10831087.386440508</v>
      </c>
      <c r="R421" s="64"/>
      <c r="S421" s="64"/>
      <c r="T421" s="66">
        <v>1114959.2306750074</v>
      </c>
      <c r="U421" s="67"/>
    </row>
    <row r="422" spans="1:26" x14ac:dyDescent="0.25">
      <c r="A422" s="60">
        <f t="shared" si="40"/>
        <v>395</v>
      </c>
      <c r="B422" s="61">
        <f t="shared" si="41"/>
        <v>207</v>
      </c>
      <c r="C422" s="62" t="s">
        <v>45</v>
      </c>
      <c r="D422" s="62" t="s">
        <v>815</v>
      </c>
      <c r="E422" s="63">
        <f t="shared" si="37"/>
        <v>7182720</v>
      </c>
      <c r="F422" s="71"/>
      <c r="H422" s="64"/>
      <c r="I422" s="71"/>
      <c r="J422" s="64"/>
      <c r="K422" s="64"/>
      <c r="L422" s="64"/>
      <c r="M422" s="64">
        <v>6868490.3575085625</v>
      </c>
      <c r="N422" s="64"/>
      <c r="O422" s="64"/>
      <c r="P422" s="64"/>
      <c r="Q422" s="64"/>
      <c r="R422" s="64">
        <v>140029.66941696001</v>
      </c>
      <c r="S422" s="65">
        <v>24000</v>
      </c>
      <c r="T422" s="66">
        <v>150199.97307447705</v>
      </c>
      <c r="U422" s="67"/>
    </row>
    <row r="423" spans="1:26" x14ac:dyDescent="0.25">
      <c r="A423" s="60">
        <f t="shared" si="40"/>
        <v>396</v>
      </c>
      <c r="B423" s="61">
        <f t="shared" si="41"/>
        <v>208</v>
      </c>
      <c r="C423" s="62" t="s">
        <v>45</v>
      </c>
      <c r="D423" s="62" t="s">
        <v>823</v>
      </c>
      <c r="E423" s="88">
        <f t="shared" si="37"/>
        <v>1342791.0154977101</v>
      </c>
      <c r="F423" s="64"/>
      <c r="G423" s="64"/>
      <c r="H423" s="64">
        <v>1168117.9829516402</v>
      </c>
      <c r="I423" s="64"/>
      <c r="J423" s="64"/>
      <c r="K423" s="64"/>
      <c r="L423" s="64"/>
      <c r="M423" s="64">
        <v>0</v>
      </c>
      <c r="N423" s="64"/>
      <c r="O423" s="64">
        <v>0</v>
      </c>
      <c r="P423" s="64"/>
      <c r="Q423" s="64"/>
      <c r="R423" s="64"/>
      <c r="S423" s="65"/>
      <c r="T423" s="66">
        <v>174673.03254607006</v>
      </c>
      <c r="U423" s="67"/>
    </row>
    <row r="424" spans="1:26" x14ac:dyDescent="0.25">
      <c r="A424" s="60">
        <f t="shared" si="40"/>
        <v>397</v>
      </c>
      <c r="B424" s="61">
        <f t="shared" si="41"/>
        <v>209</v>
      </c>
      <c r="C424" s="62" t="s">
        <v>45</v>
      </c>
      <c r="D424" s="62" t="s">
        <v>824</v>
      </c>
      <c r="E424" s="88">
        <f t="shared" si="37"/>
        <v>5925044.4175739186</v>
      </c>
      <c r="F424" s="64"/>
      <c r="G424" s="64"/>
      <c r="H424" s="64"/>
      <c r="I424" s="64"/>
      <c r="J424" s="64">
        <v>0</v>
      </c>
      <c r="K424" s="64"/>
      <c r="L424" s="64"/>
      <c r="M424" s="64">
        <v>0</v>
      </c>
      <c r="N424" s="64">
        <v>5688610.2120455997</v>
      </c>
      <c r="O424" s="64">
        <v>0</v>
      </c>
      <c r="P424" s="64"/>
      <c r="Q424" s="64"/>
      <c r="R424" s="64"/>
      <c r="S424" s="65"/>
      <c r="T424" s="66">
        <v>236434.2055283185</v>
      </c>
      <c r="U424" s="67"/>
    </row>
    <row r="425" spans="1:26" x14ac:dyDescent="0.25">
      <c r="A425" s="60">
        <f t="shared" si="40"/>
        <v>398</v>
      </c>
      <c r="B425" s="61">
        <f t="shared" si="41"/>
        <v>210</v>
      </c>
      <c r="C425" s="62" t="s">
        <v>45</v>
      </c>
      <c r="D425" s="62" t="s">
        <v>825</v>
      </c>
      <c r="E425" s="88">
        <f t="shared" si="37"/>
        <v>28086582.335604999</v>
      </c>
      <c r="F425" s="64"/>
      <c r="G425" s="64"/>
      <c r="H425" s="64"/>
      <c r="I425" s="64"/>
      <c r="J425" s="64"/>
      <c r="K425" s="64"/>
      <c r="L425" s="64"/>
      <c r="M425" s="64">
        <v>0</v>
      </c>
      <c r="N425" s="64">
        <v>10499304.299651999</v>
      </c>
      <c r="O425" s="64">
        <v>0</v>
      </c>
      <c r="P425" s="64">
        <v>8671328.1752159987</v>
      </c>
      <c r="Q425" s="64">
        <v>8142382.5448560007</v>
      </c>
      <c r="R425" s="64"/>
      <c r="S425" s="65"/>
      <c r="T425" s="66">
        <v>773567.3158809999</v>
      </c>
      <c r="U425" s="67"/>
    </row>
    <row r="426" spans="1:26" x14ac:dyDescent="0.25">
      <c r="A426" s="60">
        <f t="shared" si="40"/>
        <v>399</v>
      </c>
      <c r="B426" s="61">
        <f t="shared" si="41"/>
        <v>211</v>
      </c>
      <c r="C426" s="62" t="s">
        <v>45</v>
      </c>
      <c r="D426" s="62" t="s">
        <v>826</v>
      </c>
      <c r="E426" s="88">
        <f t="shared" si="37"/>
        <v>28394916.549863964</v>
      </c>
      <c r="F426" s="64"/>
      <c r="G426" s="64"/>
      <c r="H426" s="64"/>
      <c r="I426" s="64"/>
      <c r="J426" s="64"/>
      <c r="K426" s="64"/>
      <c r="L426" s="64"/>
      <c r="M426" s="64">
        <v>0</v>
      </c>
      <c r="N426" s="64">
        <v>10614144.820062</v>
      </c>
      <c r="O426" s="64">
        <v>0</v>
      </c>
      <c r="P426" s="64">
        <v>8769141.9461520016</v>
      </c>
      <c r="Q426" s="64">
        <v>8229942.0850500017</v>
      </c>
      <c r="R426" s="64"/>
      <c r="S426" s="65"/>
      <c r="T426" s="66">
        <v>781687.69859996007</v>
      </c>
      <c r="U426" s="67"/>
    </row>
    <row r="427" spans="1:26" x14ac:dyDescent="0.25">
      <c r="A427" s="60">
        <f t="shared" si="40"/>
        <v>400</v>
      </c>
      <c r="B427" s="61">
        <f t="shared" si="41"/>
        <v>212</v>
      </c>
      <c r="C427" s="62" t="s">
        <v>45</v>
      </c>
      <c r="D427" s="62" t="s">
        <v>831</v>
      </c>
      <c r="E427" s="88">
        <f t="shared" si="37"/>
        <v>35967841.69566232</v>
      </c>
      <c r="F427" s="64"/>
      <c r="G427" s="64"/>
      <c r="H427" s="64">
        <v>4042843.3866100004</v>
      </c>
      <c r="I427" s="64"/>
      <c r="J427" s="64">
        <v>0</v>
      </c>
      <c r="K427" s="64"/>
      <c r="L427" s="64"/>
      <c r="M427" s="64">
        <v>0</v>
      </c>
      <c r="N427" s="64">
        <v>19695633.831831999</v>
      </c>
      <c r="O427" s="64"/>
      <c r="P427" s="64"/>
      <c r="Q427" s="64">
        <v>11089164.4332</v>
      </c>
      <c r="R427" s="64"/>
      <c r="S427" s="64"/>
      <c r="T427" s="66">
        <v>1140200.0440203198</v>
      </c>
      <c r="U427" s="67"/>
    </row>
    <row r="428" spans="1:26" x14ac:dyDescent="0.25">
      <c r="A428" s="60">
        <f t="shared" si="40"/>
        <v>401</v>
      </c>
      <c r="B428" s="61">
        <f t="shared" si="41"/>
        <v>213</v>
      </c>
      <c r="C428" s="62" t="s">
        <v>45</v>
      </c>
      <c r="D428" s="62" t="s">
        <v>816</v>
      </c>
      <c r="E428" s="63">
        <f t="shared" si="37"/>
        <v>19301278.195015322</v>
      </c>
      <c r="F428" s="64"/>
      <c r="G428" s="64">
        <v>450967.71</v>
      </c>
      <c r="H428" s="64"/>
      <c r="I428" s="64">
        <v>341058.14</v>
      </c>
      <c r="J428" s="64">
        <v>0</v>
      </c>
      <c r="K428" s="64"/>
      <c r="L428" s="64"/>
      <c r="M428" s="64">
        <v>0</v>
      </c>
      <c r="N428" s="64">
        <v>9849605.5063979998</v>
      </c>
      <c r="O428" s="64">
        <v>0</v>
      </c>
      <c r="P428" s="64">
        <v>8095399.4499840001</v>
      </c>
      <c r="Q428" s="64">
        <v>283215.94</v>
      </c>
      <c r="R428" s="64"/>
      <c r="S428" s="65"/>
      <c r="T428" s="66">
        <v>281031.44863332005</v>
      </c>
      <c r="U428" s="67"/>
      <c r="Z428" s="75"/>
    </row>
    <row r="429" spans="1:26" x14ac:dyDescent="0.25">
      <c r="A429" s="60">
        <f t="shared" si="40"/>
        <v>402</v>
      </c>
      <c r="B429" s="61">
        <f t="shared" si="41"/>
        <v>214</v>
      </c>
      <c r="C429" s="62" t="s">
        <v>45</v>
      </c>
      <c r="D429" s="62" t="s">
        <v>827</v>
      </c>
      <c r="E429" s="88">
        <f t="shared" si="37"/>
        <v>26562361.188331299</v>
      </c>
      <c r="F429" s="64"/>
      <c r="G429" s="64"/>
      <c r="H429" s="64"/>
      <c r="I429" s="64"/>
      <c r="J429" s="64">
        <v>0</v>
      </c>
      <c r="K429" s="64"/>
      <c r="L429" s="64"/>
      <c r="M429" s="64">
        <v>0</v>
      </c>
      <c r="N429" s="64">
        <v>9682310.3290956002</v>
      </c>
      <c r="O429" s="64">
        <v>0</v>
      </c>
      <c r="P429" s="64">
        <v>8718532.2200000007</v>
      </c>
      <c r="Q429" s="64">
        <v>7450202.0227714796</v>
      </c>
      <c r="R429" s="64"/>
      <c r="S429" s="65"/>
      <c r="T429" s="66">
        <v>711316.6164642201</v>
      </c>
      <c r="U429" s="67"/>
    </row>
    <row r="430" spans="1:26" x14ac:dyDescent="0.25">
      <c r="A430" s="60">
        <f t="shared" si="40"/>
        <v>403</v>
      </c>
      <c r="B430" s="61">
        <f t="shared" si="41"/>
        <v>215</v>
      </c>
      <c r="C430" s="62" t="s">
        <v>45</v>
      </c>
      <c r="D430" s="62" t="s">
        <v>817</v>
      </c>
      <c r="E430" s="63">
        <f t="shared" si="37"/>
        <v>1066397.1808183601</v>
      </c>
      <c r="F430" s="64"/>
      <c r="G430" s="64"/>
      <c r="H430" s="64"/>
      <c r="I430" s="64"/>
      <c r="J430" s="64">
        <v>0</v>
      </c>
      <c r="K430" s="64"/>
      <c r="L430" s="64"/>
      <c r="M430" s="64">
        <v>0</v>
      </c>
      <c r="N430" s="64">
        <v>393320.57</v>
      </c>
      <c r="O430" s="64"/>
      <c r="P430" s="64"/>
      <c r="Q430" s="64">
        <v>406759.99</v>
      </c>
      <c r="R430" s="64"/>
      <c r="S430" s="65"/>
      <c r="T430" s="66">
        <v>266316.62081835995</v>
      </c>
      <c r="U430" s="67"/>
    </row>
    <row r="431" spans="1:26" x14ac:dyDescent="0.25">
      <c r="A431" s="60">
        <f t="shared" si="40"/>
        <v>404</v>
      </c>
      <c r="B431" s="61">
        <f t="shared" si="41"/>
        <v>216</v>
      </c>
      <c r="C431" s="62" t="s">
        <v>45</v>
      </c>
      <c r="D431" s="62" t="s">
        <v>834</v>
      </c>
      <c r="E431" s="88">
        <f t="shared" si="37"/>
        <v>14608866.01621094</v>
      </c>
      <c r="F431" s="64"/>
      <c r="G431" s="64">
        <v>1310198.586234</v>
      </c>
      <c r="H431" s="64">
        <v>1393886.8533300001</v>
      </c>
      <c r="I431" s="64">
        <v>881139.78326399997</v>
      </c>
      <c r="J431" s="64">
        <v>0</v>
      </c>
      <c r="K431" s="64"/>
      <c r="L431" s="64"/>
      <c r="M431" s="64">
        <v>0</v>
      </c>
      <c r="N431" s="64">
        <v>6816774.9733499996</v>
      </c>
      <c r="O431" s="64"/>
      <c r="P431" s="64"/>
      <c r="Q431" s="64">
        <v>3815904.5950200004</v>
      </c>
      <c r="R431" s="64"/>
      <c r="S431" s="64"/>
      <c r="T431" s="66">
        <v>390961.22501294001</v>
      </c>
      <c r="U431" s="67"/>
    </row>
    <row r="432" spans="1:26" x14ac:dyDescent="0.25">
      <c r="A432" s="60">
        <f t="shared" si="40"/>
        <v>405</v>
      </c>
      <c r="B432" s="61">
        <f t="shared" si="41"/>
        <v>217</v>
      </c>
      <c r="C432" s="62" t="s">
        <v>45</v>
      </c>
      <c r="D432" s="62" t="s">
        <v>818</v>
      </c>
      <c r="E432" s="63">
        <f t="shared" si="37"/>
        <v>9979408.108248001</v>
      </c>
      <c r="F432" s="64"/>
      <c r="G432" s="64"/>
      <c r="H432" s="64"/>
      <c r="I432" s="64"/>
      <c r="J432" s="64">
        <v>0</v>
      </c>
      <c r="K432" s="64"/>
      <c r="L432" s="64"/>
      <c r="M432" s="64">
        <v>0</v>
      </c>
      <c r="N432" s="64"/>
      <c r="O432" s="64">
        <v>0</v>
      </c>
      <c r="P432" s="64">
        <v>8231571.6100000003</v>
      </c>
      <c r="Q432" s="64">
        <v>1428913.34</v>
      </c>
      <c r="R432" s="64"/>
      <c r="S432" s="65"/>
      <c r="T432" s="66">
        <v>318923.15824800002</v>
      </c>
      <c r="U432" s="67"/>
    </row>
    <row r="433" spans="1:22" x14ac:dyDescent="0.25">
      <c r="A433" s="60">
        <f t="shared" si="40"/>
        <v>406</v>
      </c>
      <c r="B433" s="61">
        <f t="shared" si="41"/>
        <v>218</v>
      </c>
      <c r="C433" s="62" t="s">
        <v>45</v>
      </c>
      <c r="D433" s="62" t="s">
        <v>828</v>
      </c>
      <c r="E433" s="88">
        <f t="shared" si="37"/>
        <v>12374875.082309501</v>
      </c>
      <c r="F433" s="64"/>
      <c r="G433" s="64"/>
      <c r="H433" s="64">
        <v>1387071.4761120002</v>
      </c>
      <c r="I433" s="64"/>
      <c r="J433" s="64">
        <v>0</v>
      </c>
      <c r="K433" s="64"/>
      <c r="L433" s="64"/>
      <c r="M433" s="64">
        <v>0</v>
      </c>
      <c r="N433" s="64">
        <v>6781012.0992600005</v>
      </c>
      <c r="O433" s="64">
        <v>0</v>
      </c>
      <c r="P433" s="64">
        <v>0</v>
      </c>
      <c r="Q433" s="64">
        <v>3817342.0312019996</v>
      </c>
      <c r="R433" s="64"/>
      <c r="S433" s="65"/>
      <c r="T433" s="66">
        <v>389449.47573549999</v>
      </c>
      <c r="U433" s="67"/>
    </row>
    <row r="434" spans="1:22" x14ac:dyDescent="0.25">
      <c r="A434" s="60">
        <f t="shared" si="40"/>
        <v>407</v>
      </c>
      <c r="B434" s="61">
        <f t="shared" si="41"/>
        <v>219</v>
      </c>
      <c r="C434" s="62" t="s">
        <v>46</v>
      </c>
      <c r="D434" s="62" t="s">
        <v>853</v>
      </c>
      <c r="E434" s="88">
        <f t="shared" si="37"/>
        <v>89595388.453943774</v>
      </c>
      <c r="F434" s="64"/>
      <c r="G434" s="64"/>
      <c r="H434" s="64">
        <v>7735463.9302031901</v>
      </c>
      <c r="I434" s="64"/>
      <c r="J434" s="64">
        <v>0</v>
      </c>
      <c r="K434" s="64"/>
      <c r="L434" s="64"/>
      <c r="M434" s="64"/>
      <c r="N434" s="64">
        <v>0</v>
      </c>
      <c r="O434" s="64">
        <v>0</v>
      </c>
      <c r="P434" s="64">
        <v>78603849.219999999</v>
      </c>
      <c r="Q434" s="64">
        <v>0</v>
      </c>
      <c r="R434" s="64">
        <v>256263</v>
      </c>
      <c r="S434" s="65">
        <v>85421</v>
      </c>
      <c r="T434" s="66">
        <v>2914391.3037405843</v>
      </c>
      <c r="U434" s="67"/>
      <c r="V434" s="75"/>
    </row>
    <row r="435" spans="1:22" x14ac:dyDescent="0.25">
      <c r="A435" s="60">
        <f t="shared" si="40"/>
        <v>408</v>
      </c>
      <c r="B435" s="61">
        <f t="shared" si="41"/>
        <v>220</v>
      </c>
      <c r="C435" s="62" t="s">
        <v>46</v>
      </c>
      <c r="D435" s="62" t="s">
        <v>1054</v>
      </c>
      <c r="E435" s="63">
        <f t="shared" si="37"/>
        <v>23521550.178977139</v>
      </c>
      <c r="F435" s="64">
        <v>13963940.488183141</v>
      </c>
      <c r="G435" s="71"/>
      <c r="H435" s="71"/>
      <c r="I435" s="64">
        <v>6043467.3980940003</v>
      </c>
      <c r="J435" s="64">
        <v>0</v>
      </c>
      <c r="K435" s="64"/>
      <c r="L435" s="64">
        <v>671777.63177280012</v>
      </c>
      <c r="M435" s="64">
        <v>0</v>
      </c>
      <c r="N435" s="71"/>
      <c r="O435" s="64">
        <v>0</v>
      </c>
      <c r="P435" s="64"/>
      <c r="Q435" s="64"/>
      <c r="R435" s="64"/>
      <c r="S435" s="65"/>
      <c r="T435" s="66">
        <v>2842364.6609271998</v>
      </c>
      <c r="U435" s="67"/>
    </row>
    <row r="436" spans="1:22" x14ac:dyDescent="0.25">
      <c r="A436" s="60">
        <f t="shared" si="40"/>
        <v>409</v>
      </c>
      <c r="B436" s="61">
        <f t="shared" si="41"/>
        <v>221</v>
      </c>
      <c r="C436" s="62" t="s">
        <v>46</v>
      </c>
      <c r="D436" s="62" t="s">
        <v>1101</v>
      </c>
      <c r="E436" s="88">
        <f t="shared" si="37"/>
        <v>5670694.3393124007</v>
      </c>
      <c r="F436" s="64"/>
      <c r="G436" s="64">
        <v>3409820.697402</v>
      </c>
      <c r="H436" s="64">
        <v>0</v>
      </c>
      <c r="I436" s="64">
        <v>1911644.1932280001</v>
      </c>
      <c r="J436" s="64">
        <v>0</v>
      </c>
      <c r="K436" s="64"/>
      <c r="L436" s="64"/>
      <c r="M436" s="64">
        <v>0</v>
      </c>
      <c r="N436" s="64"/>
      <c r="O436" s="64"/>
      <c r="P436" s="64"/>
      <c r="Q436" s="64"/>
      <c r="R436" s="64"/>
      <c r="S436" s="65"/>
      <c r="T436" s="66">
        <v>349229.44868240005</v>
      </c>
      <c r="U436" s="67"/>
    </row>
    <row r="437" spans="1:22" x14ac:dyDescent="0.25">
      <c r="A437" s="60">
        <f t="shared" si="40"/>
        <v>410</v>
      </c>
      <c r="B437" s="61">
        <f t="shared" si="41"/>
        <v>222</v>
      </c>
      <c r="C437" s="62" t="s">
        <v>46</v>
      </c>
      <c r="D437" s="62" t="s">
        <v>277</v>
      </c>
      <c r="E437" s="63">
        <f t="shared" ref="E437:E468" si="42">SUBTOTAL(9,F437:T437)</f>
        <v>21526754.1008</v>
      </c>
      <c r="F437" s="64">
        <v>6351405.7500179997</v>
      </c>
      <c r="G437" s="64">
        <v>2342376.7642799998</v>
      </c>
      <c r="H437" s="64"/>
      <c r="I437" s="64"/>
      <c r="J437" s="64">
        <v>0</v>
      </c>
      <c r="K437" s="64"/>
      <c r="L437" s="64">
        <v>192437.14870883999</v>
      </c>
      <c r="M437" s="64">
        <v>0</v>
      </c>
      <c r="N437" s="64">
        <v>12126879.564995999</v>
      </c>
      <c r="O437" s="64">
        <v>0</v>
      </c>
      <c r="P437" s="64">
        <v>0</v>
      </c>
      <c r="Q437" s="64">
        <v>0</v>
      </c>
      <c r="R437" s="64"/>
      <c r="S437" s="65"/>
      <c r="T437" s="66">
        <v>513654.87279715994</v>
      </c>
      <c r="U437" s="67"/>
    </row>
    <row r="438" spans="1:22" x14ac:dyDescent="0.25">
      <c r="A438" s="60">
        <f t="shared" si="40"/>
        <v>411</v>
      </c>
      <c r="B438" s="61">
        <f t="shared" si="41"/>
        <v>223</v>
      </c>
      <c r="C438" s="62" t="s">
        <v>46</v>
      </c>
      <c r="D438" s="62" t="s">
        <v>844</v>
      </c>
      <c r="E438" s="63">
        <f t="shared" si="42"/>
        <v>3110187.22</v>
      </c>
      <c r="F438" s="64">
        <v>0</v>
      </c>
      <c r="G438" s="64">
        <v>0</v>
      </c>
      <c r="H438" s="64">
        <v>3043629.213492</v>
      </c>
      <c r="I438" s="64">
        <v>0</v>
      </c>
      <c r="J438" s="64">
        <v>0</v>
      </c>
      <c r="K438" s="64"/>
      <c r="L438" s="64"/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/>
      <c r="S438" s="65"/>
      <c r="T438" s="66">
        <v>66558.006508000006</v>
      </c>
      <c r="U438" s="67"/>
    </row>
    <row r="439" spans="1:22" x14ac:dyDescent="0.25">
      <c r="A439" s="60">
        <f t="shared" si="40"/>
        <v>412</v>
      </c>
      <c r="B439" s="61">
        <f t="shared" si="41"/>
        <v>224</v>
      </c>
      <c r="C439" s="62" t="s">
        <v>46</v>
      </c>
      <c r="D439" s="62" t="s">
        <v>1103</v>
      </c>
      <c r="E439" s="63">
        <f t="shared" si="42"/>
        <v>20055940.725283999</v>
      </c>
      <c r="F439" s="64">
        <v>4698966.264804</v>
      </c>
      <c r="G439" s="64">
        <v>3271249.5477899997</v>
      </c>
      <c r="H439" s="64">
        <v>1989640.0224120002</v>
      </c>
      <c r="I439" s="64">
        <v>1832647.6966140002</v>
      </c>
      <c r="J439" s="64">
        <v>0</v>
      </c>
      <c r="K439" s="64"/>
      <c r="L439" s="64">
        <v>209478.56798399999</v>
      </c>
      <c r="M439" s="64">
        <v>0</v>
      </c>
      <c r="N439" s="64">
        <v>2326355.17</v>
      </c>
      <c r="O439" s="64">
        <v>0</v>
      </c>
      <c r="P439" s="64">
        <v>0</v>
      </c>
      <c r="Q439" s="64">
        <v>5299064.2766880002</v>
      </c>
      <c r="R439" s="64"/>
      <c r="S439" s="65"/>
      <c r="T439" s="66">
        <v>428539.178992</v>
      </c>
      <c r="U439" s="67"/>
    </row>
    <row r="440" spans="1:22" x14ac:dyDescent="0.25">
      <c r="A440" s="60">
        <f t="shared" si="40"/>
        <v>413</v>
      </c>
      <c r="B440" s="61">
        <f t="shared" si="41"/>
        <v>225</v>
      </c>
      <c r="C440" s="62" t="s">
        <v>46</v>
      </c>
      <c r="D440" s="62" t="s">
        <v>413</v>
      </c>
      <c r="E440" s="63">
        <f t="shared" si="42"/>
        <v>11997336.196299998</v>
      </c>
      <c r="F440" s="64">
        <v>11740593.201699179</v>
      </c>
      <c r="G440" s="64">
        <v>0</v>
      </c>
      <c r="H440" s="64">
        <v>0</v>
      </c>
      <c r="I440" s="64">
        <v>0</v>
      </c>
      <c r="J440" s="64">
        <v>0</v>
      </c>
      <c r="K440" s="64"/>
      <c r="L440" s="64"/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/>
      <c r="S440" s="65"/>
      <c r="T440" s="66">
        <v>256742.99460081998</v>
      </c>
      <c r="U440" s="67"/>
    </row>
    <row r="441" spans="1:22" x14ac:dyDescent="0.25">
      <c r="A441" s="60">
        <f t="shared" si="40"/>
        <v>414</v>
      </c>
      <c r="B441" s="61">
        <f t="shared" si="41"/>
        <v>226</v>
      </c>
      <c r="C441" s="62" t="s">
        <v>46</v>
      </c>
      <c r="D441" s="62" t="s">
        <v>847</v>
      </c>
      <c r="E441" s="63">
        <f t="shared" si="42"/>
        <v>41211346.969699867</v>
      </c>
      <c r="F441" s="64">
        <v>14114712.016718039</v>
      </c>
      <c r="G441" s="64">
        <v>5068716.41</v>
      </c>
      <c r="H441" s="64"/>
      <c r="I441" s="64">
        <v>5320168.0919898003</v>
      </c>
      <c r="J441" s="64"/>
      <c r="K441" s="64"/>
      <c r="L441" s="64">
        <v>679030.95234239998</v>
      </c>
      <c r="M441" s="64">
        <v>0</v>
      </c>
      <c r="N441" s="64"/>
      <c r="O441" s="64">
        <v>0</v>
      </c>
      <c r="P441" s="64"/>
      <c r="Q441" s="64">
        <v>15720059.33396766</v>
      </c>
      <c r="R441" s="64"/>
      <c r="S441" s="65"/>
      <c r="T441" s="66">
        <v>308660.16468196001</v>
      </c>
      <c r="U441" s="67"/>
    </row>
    <row r="442" spans="1:22" x14ac:dyDescent="0.25">
      <c r="A442" s="60">
        <f t="shared" si="40"/>
        <v>415</v>
      </c>
      <c r="B442" s="61">
        <f t="shared" si="41"/>
        <v>227</v>
      </c>
      <c r="C442" s="62" t="s">
        <v>46</v>
      </c>
      <c r="D442" s="62" t="s">
        <v>1104</v>
      </c>
      <c r="E442" s="63">
        <f t="shared" si="42"/>
        <v>25200863.723121602</v>
      </c>
      <c r="F442" s="64">
        <v>18821465.971318923</v>
      </c>
      <c r="G442" s="64">
        <v>5062346.8099999996</v>
      </c>
      <c r="H442" s="64"/>
      <c r="I442" s="64"/>
      <c r="J442" s="64"/>
      <c r="K442" s="64"/>
      <c r="L442" s="64">
        <v>905463.60092160001</v>
      </c>
      <c r="M442" s="64">
        <v>0</v>
      </c>
      <c r="N442" s="64"/>
      <c r="O442" s="64">
        <v>0</v>
      </c>
      <c r="P442" s="64">
        <v>0</v>
      </c>
      <c r="Q442" s="64"/>
      <c r="R442" s="64"/>
      <c r="S442" s="65"/>
      <c r="T442" s="66">
        <v>411587.34088108013</v>
      </c>
      <c r="U442" s="67"/>
    </row>
    <row r="443" spans="1:22" x14ac:dyDescent="0.25">
      <c r="A443" s="60">
        <f t="shared" si="40"/>
        <v>416</v>
      </c>
      <c r="B443" s="61">
        <f t="shared" si="41"/>
        <v>228</v>
      </c>
      <c r="C443" s="62" t="s">
        <v>46</v>
      </c>
      <c r="D443" s="62" t="s">
        <v>841</v>
      </c>
      <c r="E443" s="63">
        <f t="shared" si="42"/>
        <v>7603592.7265236992</v>
      </c>
      <c r="F443" s="64">
        <v>7298871.8499999996</v>
      </c>
      <c r="G443" s="64"/>
      <c r="H443" s="64"/>
      <c r="I443" s="64"/>
      <c r="J443" s="64"/>
      <c r="K443" s="64"/>
      <c r="L443" s="64"/>
      <c r="M443" s="64">
        <v>0</v>
      </c>
      <c r="N443" s="64">
        <v>0</v>
      </c>
      <c r="O443" s="64">
        <v>0</v>
      </c>
      <c r="P443" s="64">
        <v>0</v>
      </c>
      <c r="Q443" s="64"/>
      <c r="R443" s="64"/>
      <c r="S443" s="65"/>
      <c r="T443" s="66">
        <v>304720.87652370002</v>
      </c>
      <c r="U443" s="67"/>
    </row>
    <row r="444" spans="1:22" x14ac:dyDescent="0.25">
      <c r="A444" s="60">
        <f t="shared" si="40"/>
        <v>417</v>
      </c>
      <c r="B444" s="61">
        <f t="shared" si="41"/>
        <v>229</v>
      </c>
      <c r="C444" s="62" t="s">
        <v>46</v>
      </c>
      <c r="D444" s="62" t="s">
        <v>840</v>
      </c>
      <c r="E444" s="63">
        <f t="shared" si="42"/>
        <v>35079221.879224002</v>
      </c>
      <c r="F444" s="64">
        <v>20377265.934942003</v>
      </c>
      <c r="G444" s="64"/>
      <c r="H444" s="64">
        <v>5982768.1600000001</v>
      </c>
      <c r="I444" s="64">
        <v>6173299.2699999996</v>
      </c>
      <c r="J444" s="64">
        <v>0</v>
      </c>
      <c r="K444" s="64"/>
      <c r="L444" s="64">
        <v>897798.66553440015</v>
      </c>
      <c r="M444" s="64">
        <v>0</v>
      </c>
      <c r="N444" s="64">
        <v>0</v>
      </c>
      <c r="O444" s="64">
        <v>0</v>
      </c>
      <c r="P444" s="64">
        <v>0</v>
      </c>
      <c r="Q444" s="64"/>
      <c r="R444" s="64"/>
      <c r="S444" s="65"/>
      <c r="T444" s="66">
        <v>1648089.8487476003</v>
      </c>
      <c r="U444" s="67"/>
    </row>
    <row r="445" spans="1:22" x14ac:dyDescent="0.25">
      <c r="A445" s="60">
        <f t="shared" si="40"/>
        <v>418</v>
      </c>
      <c r="B445" s="61">
        <f t="shared" si="41"/>
        <v>230</v>
      </c>
      <c r="C445" s="62" t="s">
        <v>46</v>
      </c>
      <c r="D445" s="62" t="s">
        <v>849</v>
      </c>
      <c r="E445" s="63">
        <f t="shared" si="42"/>
        <v>24395451.924600001</v>
      </c>
      <c r="F445" s="64"/>
      <c r="G445" s="64"/>
      <c r="H445" s="64"/>
      <c r="I445" s="64"/>
      <c r="J445" s="64"/>
      <c r="K445" s="64"/>
      <c r="L445" s="64"/>
      <c r="M445" s="64"/>
      <c r="N445" s="64">
        <v>0</v>
      </c>
      <c r="O445" s="64">
        <v>0</v>
      </c>
      <c r="P445" s="64">
        <v>23873389.253413562</v>
      </c>
      <c r="Q445" s="64"/>
      <c r="R445" s="64"/>
      <c r="S445" s="65"/>
      <c r="T445" s="66">
        <v>522062.67118644004</v>
      </c>
      <c r="U445" s="67"/>
    </row>
    <row r="446" spans="1:22" x14ac:dyDescent="0.25">
      <c r="A446" s="60">
        <f t="shared" si="40"/>
        <v>419</v>
      </c>
      <c r="B446" s="61">
        <f t="shared" si="41"/>
        <v>231</v>
      </c>
      <c r="C446" s="62" t="s">
        <v>46</v>
      </c>
      <c r="D446" s="62" t="s">
        <v>851</v>
      </c>
      <c r="E446" s="63">
        <f t="shared" si="42"/>
        <v>5983323.2459000004</v>
      </c>
      <c r="F446" s="64">
        <v>5855280.1284377407</v>
      </c>
      <c r="G446" s="64">
        <v>0</v>
      </c>
      <c r="H446" s="64">
        <v>0</v>
      </c>
      <c r="I446" s="64">
        <v>0</v>
      </c>
      <c r="J446" s="64">
        <v>0</v>
      </c>
      <c r="K446" s="64"/>
      <c r="L446" s="64"/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/>
      <c r="S446" s="65"/>
      <c r="T446" s="66">
        <v>128043.11746226001</v>
      </c>
      <c r="U446" s="67"/>
    </row>
    <row r="447" spans="1:22" x14ac:dyDescent="0.25">
      <c r="A447" s="60">
        <f t="shared" si="40"/>
        <v>420</v>
      </c>
      <c r="B447" s="61">
        <f t="shared" si="41"/>
        <v>232</v>
      </c>
      <c r="C447" s="62" t="s">
        <v>46</v>
      </c>
      <c r="D447" s="62" t="s">
        <v>1058</v>
      </c>
      <c r="E447" s="63">
        <f t="shared" si="42"/>
        <v>21423269.711282883</v>
      </c>
      <c r="F447" s="64"/>
      <c r="G447" s="64"/>
      <c r="H447" s="64"/>
      <c r="I447" s="64"/>
      <c r="J447" s="64"/>
      <c r="K447" s="64"/>
      <c r="L447" s="64"/>
      <c r="M447" s="64">
        <v>0</v>
      </c>
      <c r="N447" s="64">
        <v>0</v>
      </c>
      <c r="O447" s="64">
        <v>0</v>
      </c>
      <c r="P447" s="64">
        <v>20848198.017103564</v>
      </c>
      <c r="Q447" s="64"/>
      <c r="R447" s="64"/>
      <c r="S447" s="65"/>
      <c r="T447" s="66">
        <v>575071.69417932001</v>
      </c>
      <c r="U447" s="67"/>
      <c r="V447" s="75"/>
    </row>
    <row r="448" spans="1:22" x14ac:dyDescent="0.25">
      <c r="A448" s="60">
        <f t="shared" si="40"/>
        <v>421</v>
      </c>
      <c r="B448" s="61">
        <f t="shared" si="41"/>
        <v>233</v>
      </c>
      <c r="C448" s="62" t="s">
        <v>46</v>
      </c>
      <c r="D448" s="62" t="s">
        <v>843</v>
      </c>
      <c r="E448" s="63">
        <f t="shared" si="42"/>
        <v>13125184.475528559</v>
      </c>
      <c r="F448" s="64">
        <v>12305507</v>
      </c>
      <c r="G448" s="64"/>
      <c r="H448" s="64"/>
      <c r="I448" s="64"/>
      <c r="J448" s="64">
        <v>0</v>
      </c>
      <c r="K448" s="64"/>
      <c r="L448" s="64">
        <v>386031.94970675994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/>
      <c r="S448" s="65"/>
      <c r="T448" s="66">
        <v>433645.52582179999</v>
      </c>
      <c r="U448" s="67"/>
    </row>
    <row r="449" spans="1:21" x14ac:dyDescent="0.25">
      <c r="A449" s="60">
        <f t="shared" si="40"/>
        <v>422</v>
      </c>
      <c r="B449" s="61">
        <f t="shared" si="41"/>
        <v>234</v>
      </c>
      <c r="C449" s="62" t="s">
        <v>58</v>
      </c>
      <c r="D449" s="62" t="s">
        <v>981</v>
      </c>
      <c r="E449" s="63">
        <f t="shared" si="42"/>
        <v>19747257.494666997</v>
      </c>
      <c r="F449" s="64">
        <v>13442149.368269999</v>
      </c>
      <c r="G449" s="64">
        <v>4980833.6754120002</v>
      </c>
      <c r="H449" s="64">
        <v>0</v>
      </c>
      <c r="I449" s="64">
        <v>0</v>
      </c>
      <c r="J449" s="64">
        <v>0</v>
      </c>
      <c r="K449" s="64"/>
      <c r="L449" s="64">
        <v>406248.53806487995</v>
      </c>
      <c r="M449" s="64">
        <v>0</v>
      </c>
      <c r="N449" s="64"/>
      <c r="O449" s="64">
        <v>0</v>
      </c>
      <c r="P449" s="64">
        <v>0</v>
      </c>
      <c r="Q449" s="64">
        <v>0</v>
      </c>
      <c r="R449" s="64"/>
      <c r="S449" s="65"/>
      <c r="T449" s="66">
        <v>918025.91292012006</v>
      </c>
      <c r="U449" s="67"/>
    </row>
    <row r="450" spans="1:21" x14ac:dyDescent="0.25">
      <c r="A450" s="60">
        <f t="shared" si="40"/>
        <v>423</v>
      </c>
      <c r="B450" s="61">
        <f t="shared" si="41"/>
        <v>235</v>
      </c>
      <c r="C450" s="62" t="s">
        <v>58</v>
      </c>
      <c r="D450" s="62" t="s">
        <v>982</v>
      </c>
      <c r="E450" s="63">
        <f t="shared" si="42"/>
        <v>24458262.938600004</v>
      </c>
      <c r="F450" s="64">
        <v>13364467.924122002</v>
      </c>
      <c r="G450" s="64">
        <v>4951357.8128279997</v>
      </c>
      <c r="H450" s="64">
        <v>5214934.7490660008</v>
      </c>
      <c r="I450" s="64">
        <v>0</v>
      </c>
      <c r="J450" s="64">
        <v>0</v>
      </c>
      <c r="K450" s="64"/>
      <c r="L450" s="64">
        <v>404095.62569795997</v>
      </c>
      <c r="M450" s="64">
        <v>0</v>
      </c>
      <c r="N450" s="64"/>
      <c r="O450" s="64">
        <v>0</v>
      </c>
      <c r="P450" s="64">
        <v>0</v>
      </c>
      <c r="Q450" s="64">
        <v>0</v>
      </c>
      <c r="R450" s="64"/>
      <c r="S450" s="65"/>
      <c r="T450" s="66">
        <v>523406.8268860401</v>
      </c>
      <c r="U450" s="67"/>
    </row>
    <row r="451" spans="1:21" x14ac:dyDescent="0.25">
      <c r="A451" s="60">
        <f t="shared" si="40"/>
        <v>424</v>
      </c>
      <c r="B451" s="61">
        <f t="shared" si="41"/>
        <v>236</v>
      </c>
      <c r="C451" s="62" t="s">
        <v>58</v>
      </c>
      <c r="D451" s="62" t="s">
        <v>984</v>
      </c>
      <c r="E451" s="63">
        <f t="shared" si="42"/>
        <v>10561545.689199999</v>
      </c>
      <c r="F451" s="64">
        <v>7387365.7431419995</v>
      </c>
      <c r="G451" s="64">
        <v>2724118.5447</v>
      </c>
      <c r="H451" s="64">
        <v>0</v>
      </c>
      <c r="I451" s="64">
        <v>0</v>
      </c>
      <c r="J451" s="64">
        <v>0</v>
      </c>
      <c r="K451" s="64"/>
      <c r="L451" s="64">
        <v>224044.32360912001</v>
      </c>
      <c r="M451" s="64">
        <v>0</v>
      </c>
      <c r="N451" s="64"/>
      <c r="O451" s="64">
        <v>0</v>
      </c>
      <c r="P451" s="64">
        <v>0</v>
      </c>
      <c r="Q451" s="64">
        <v>0</v>
      </c>
      <c r="R451" s="64"/>
      <c r="S451" s="65"/>
      <c r="T451" s="66">
        <v>226017.07774887996</v>
      </c>
      <c r="U451" s="67"/>
    </row>
    <row r="452" spans="1:21" x14ac:dyDescent="0.25">
      <c r="A452" s="60">
        <f t="shared" si="40"/>
        <v>425</v>
      </c>
      <c r="B452" s="61">
        <f t="shared" si="41"/>
        <v>237</v>
      </c>
      <c r="C452" s="62" t="s">
        <v>58</v>
      </c>
      <c r="D452" s="62" t="s">
        <v>985</v>
      </c>
      <c r="E452" s="63">
        <f t="shared" si="42"/>
        <v>28815163.8424908</v>
      </c>
      <c r="F452" s="64">
        <v>13389086.339243999</v>
      </c>
      <c r="G452" s="64">
        <v>4961562.7514880002</v>
      </c>
      <c r="H452" s="64">
        <v>0</v>
      </c>
      <c r="I452" s="64">
        <v>0</v>
      </c>
      <c r="J452" s="64">
        <v>0</v>
      </c>
      <c r="K452" s="64"/>
      <c r="L452" s="64">
        <v>404624.41455659998</v>
      </c>
      <c r="M452" s="64">
        <v>0</v>
      </c>
      <c r="N452" s="64">
        <v>9145505.7300000004</v>
      </c>
      <c r="O452" s="64">
        <v>0</v>
      </c>
      <c r="P452" s="64">
        <v>0</v>
      </c>
      <c r="Q452" s="64">
        <v>0</v>
      </c>
      <c r="R452" s="64"/>
      <c r="S452" s="65"/>
      <c r="T452" s="66">
        <v>914384.60720219999</v>
      </c>
      <c r="U452" s="67"/>
    </row>
    <row r="453" spans="1:21" x14ac:dyDescent="0.25">
      <c r="A453" s="60">
        <f t="shared" si="40"/>
        <v>426</v>
      </c>
      <c r="B453" s="61">
        <f t="shared" si="41"/>
        <v>238</v>
      </c>
      <c r="C453" s="62" t="s">
        <v>58</v>
      </c>
      <c r="D453" s="62" t="s">
        <v>983</v>
      </c>
      <c r="E453" s="63">
        <f t="shared" si="42"/>
        <v>17059045.641933002</v>
      </c>
      <c r="F453" s="64">
        <v>10856660.689999999</v>
      </c>
      <c r="G453" s="64">
        <v>4871890.16</v>
      </c>
      <c r="H453" s="64">
        <v>0</v>
      </c>
      <c r="I453" s="64">
        <v>0</v>
      </c>
      <c r="J453" s="64">
        <v>0</v>
      </c>
      <c r="K453" s="64"/>
      <c r="L453" s="64">
        <v>408137.05600247998</v>
      </c>
      <c r="M453" s="64">
        <v>0</v>
      </c>
      <c r="N453" s="64"/>
      <c r="O453" s="64">
        <v>0</v>
      </c>
      <c r="P453" s="64">
        <v>0</v>
      </c>
      <c r="Q453" s="64">
        <v>0</v>
      </c>
      <c r="R453" s="64"/>
      <c r="S453" s="65"/>
      <c r="T453" s="66">
        <v>922357.73593051999</v>
      </c>
      <c r="U453" s="67"/>
    </row>
    <row r="454" spans="1:21" x14ac:dyDescent="0.25">
      <c r="A454" s="60">
        <f t="shared" si="40"/>
        <v>427</v>
      </c>
      <c r="B454" s="61">
        <f t="shared" si="41"/>
        <v>239</v>
      </c>
      <c r="C454" s="62" t="s">
        <v>60</v>
      </c>
      <c r="D454" s="62" t="s">
        <v>865</v>
      </c>
      <c r="E454" s="63">
        <f t="shared" si="42"/>
        <v>7441099.7124260003</v>
      </c>
      <c r="F454" s="64"/>
      <c r="G454" s="64">
        <v>539640.37</v>
      </c>
      <c r="H454" s="64">
        <v>0</v>
      </c>
      <c r="I454" s="64">
        <v>0</v>
      </c>
      <c r="J454" s="64">
        <v>0</v>
      </c>
      <c r="K454" s="64"/>
      <c r="L454" s="64"/>
      <c r="M454" s="64">
        <v>0</v>
      </c>
      <c r="N454" s="64">
        <v>6713480.5099999998</v>
      </c>
      <c r="O454" s="64">
        <v>0</v>
      </c>
      <c r="P454" s="64">
        <v>0</v>
      </c>
      <c r="Q454" s="64">
        <v>0</v>
      </c>
      <c r="R454" s="64"/>
      <c r="S454" s="65"/>
      <c r="T454" s="66">
        <v>187978.83242600004</v>
      </c>
      <c r="U454" s="67"/>
    </row>
    <row r="455" spans="1:21" x14ac:dyDescent="0.25">
      <c r="A455" s="60">
        <f t="shared" si="40"/>
        <v>428</v>
      </c>
      <c r="B455" s="61">
        <f t="shared" si="41"/>
        <v>240</v>
      </c>
      <c r="C455" s="62" t="s">
        <v>60</v>
      </c>
      <c r="D455" s="62" t="s">
        <v>866</v>
      </c>
      <c r="E455" s="63">
        <f t="shared" si="42"/>
        <v>17965449.162177999</v>
      </c>
      <c r="F455" s="64">
        <v>6428842.3899999997</v>
      </c>
      <c r="G455" s="64">
        <v>1825378.91</v>
      </c>
      <c r="H455" s="64">
        <v>1830078.26</v>
      </c>
      <c r="I455" s="64"/>
      <c r="J455" s="64">
        <v>0</v>
      </c>
      <c r="K455" s="64"/>
      <c r="L455" s="64"/>
      <c r="M455" s="64">
        <v>0</v>
      </c>
      <c r="N455" s="64">
        <v>0</v>
      </c>
      <c r="O455" s="64">
        <v>0</v>
      </c>
      <c r="P455" s="64">
        <v>7416801.1399999997</v>
      </c>
      <c r="Q455" s="64">
        <v>0</v>
      </c>
      <c r="R455" s="64"/>
      <c r="S455" s="65"/>
      <c r="T455" s="66">
        <v>464348.46217800002</v>
      </c>
      <c r="U455" s="67"/>
    </row>
    <row r="456" spans="1:21" x14ac:dyDescent="0.25">
      <c r="A456" s="60">
        <f t="shared" si="40"/>
        <v>429</v>
      </c>
      <c r="B456" s="61">
        <f t="shared" si="41"/>
        <v>241</v>
      </c>
      <c r="C456" s="62" t="s">
        <v>60</v>
      </c>
      <c r="D456" s="62" t="s">
        <v>869</v>
      </c>
      <c r="E456" s="63">
        <f t="shared" si="42"/>
        <v>9321568.8579660002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/>
      <c r="L456" s="64"/>
      <c r="M456" s="64">
        <v>0</v>
      </c>
      <c r="N456" s="64">
        <v>9023845.8800000008</v>
      </c>
      <c r="O456" s="64">
        <v>0</v>
      </c>
      <c r="P456" s="64"/>
      <c r="Q456" s="64">
        <v>0</v>
      </c>
      <c r="R456" s="64"/>
      <c r="S456" s="65"/>
      <c r="T456" s="66">
        <v>297722.97796599998</v>
      </c>
      <c r="U456" s="67"/>
    </row>
    <row r="457" spans="1:21" x14ac:dyDescent="0.25">
      <c r="A457" s="60">
        <f t="shared" si="40"/>
        <v>430</v>
      </c>
      <c r="B457" s="61">
        <f t="shared" si="41"/>
        <v>242</v>
      </c>
      <c r="C457" s="62" t="s">
        <v>136</v>
      </c>
      <c r="D457" s="62" t="s">
        <v>878</v>
      </c>
      <c r="E457" s="88">
        <f t="shared" si="42"/>
        <v>6161971.9008879205</v>
      </c>
      <c r="F457" s="64"/>
      <c r="G457" s="64">
        <v>2560521.6985019348</v>
      </c>
      <c r="H457" s="64">
        <v>2678283.0435968651</v>
      </c>
      <c r="I457" s="64"/>
      <c r="J457" s="64">
        <v>0</v>
      </c>
      <c r="K457" s="64"/>
      <c r="L457" s="64"/>
      <c r="M457" s="64"/>
      <c r="N457" s="64"/>
      <c r="O457" s="64"/>
      <c r="P457" s="64"/>
      <c r="Q457" s="64"/>
      <c r="R457" s="64">
        <v>766420.45197882829</v>
      </c>
      <c r="S457" s="65"/>
      <c r="T457" s="66">
        <v>156746.70681029282</v>
      </c>
      <c r="U457" s="67"/>
    </row>
    <row r="458" spans="1:21" x14ac:dyDescent="0.25">
      <c r="A458" s="60">
        <f t="shared" si="40"/>
        <v>431</v>
      </c>
      <c r="B458" s="61">
        <f t="shared" si="41"/>
        <v>243</v>
      </c>
      <c r="C458" s="62" t="s">
        <v>136</v>
      </c>
      <c r="D458" s="62" t="s">
        <v>879</v>
      </c>
      <c r="E458" s="88">
        <f t="shared" si="42"/>
        <v>15250257.820993347</v>
      </c>
      <c r="F458" s="64">
        <v>7236891.7417667126</v>
      </c>
      <c r="G458" s="64">
        <v>3349337.1770725711</v>
      </c>
      <c r="H458" s="64">
        <v>3482256.4633805514</v>
      </c>
      <c r="I458" s="64"/>
      <c r="J458" s="64"/>
      <c r="K458" s="64"/>
      <c r="L458" s="64">
        <v>268700.9284648766</v>
      </c>
      <c r="M458" s="64"/>
      <c r="N458" s="64"/>
      <c r="O458" s="64"/>
      <c r="P458" s="64"/>
      <c r="Q458" s="64"/>
      <c r="R458" s="64">
        <v>550712.36</v>
      </c>
      <c r="S458" s="65"/>
      <c r="T458" s="66">
        <v>362359.15030863637</v>
      </c>
      <c r="U458" s="67"/>
    </row>
    <row r="459" spans="1:21" x14ac:dyDescent="0.25">
      <c r="A459" s="60">
        <f t="shared" si="40"/>
        <v>432</v>
      </c>
      <c r="B459" s="61">
        <f t="shared" si="41"/>
        <v>244</v>
      </c>
      <c r="C459" s="62" t="s">
        <v>136</v>
      </c>
      <c r="D459" s="62" t="s">
        <v>880</v>
      </c>
      <c r="E459" s="88">
        <f t="shared" si="42"/>
        <v>25951484.897758067</v>
      </c>
      <c r="F459" s="64">
        <v>7588162.5095821442</v>
      </c>
      <c r="G459" s="64">
        <v>3513749.8885165155</v>
      </c>
      <c r="H459" s="64">
        <v>3648800.90724076</v>
      </c>
      <c r="I459" s="64"/>
      <c r="J459" s="64"/>
      <c r="K459" s="64"/>
      <c r="L459" s="64">
        <v>281551.16212344577</v>
      </c>
      <c r="M459" s="64"/>
      <c r="N459" s="64"/>
      <c r="O459" s="64"/>
      <c r="P459" s="64"/>
      <c r="Q459" s="64">
        <v>9770786.1871471778</v>
      </c>
      <c r="R459" s="64">
        <v>606041.76</v>
      </c>
      <c r="S459" s="65"/>
      <c r="T459" s="66">
        <v>542392.48314802255</v>
      </c>
      <c r="U459" s="67"/>
    </row>
    <row r="460" spans="1:21" x14ac:dyDescent="0.25">
      <c r="A460" s="60">
        <f t="shared" si="40"/>
        <v>433</v>
      </c>
      <c r="B460" s="61">
        <f t="shared" si="41"/>
        <v>245</v>
      </c>
      <c r="C460" s="62" t="s">
        <v>136</v>
      </c>
      <c r="D460" s="62" t="s">
        <v>881</v>
      </c>
      <c r="E460" s="88">
        <f t="shared" si="42"/>
        <v>31007203.639035657</v>
      </c>
      <c r="F460" s="64">
        <v>8973350.9449416008</v>
      </c>
      <c r="G460" s="64">
        <v>4153394.8612312796</v>
      </c>
      <c r="H460" s="64">
        <v>4321667.2967556482</v>
      </c>
      <c r="I460" s="64"/>
      <c r="J460" s="64"/>
      <c r="K460" s="64"/>
      <c r="L460" s="64">
        <v>333724.67549366411</v>
      </c>
      <c r="M460" s="64"/>
      <c r="N460" s="64"/>
      <c r="O460" s="64"/>
      <c r="P460" s="64"/>
      <c r="Q460" s="64">
        <v>11566981.319995483</v>
      </c>
      <c r="R460" s="64">
        <v>955846.37</v>
      </c>
      <c r="S460" s="65"/>
      <c r="T460" s="66">
        <v>702238.17061798053</v>
      </c>
      <c r="U460" s="67"/>
    </row>
    <row r="461" spans="1:21" x14ac:dyDescent="0.25">
      <c r="A461" s="60">
        <f t="shared" si="40"/>
        <v>434</v>
      </c>
      <c r="B461" s="61">
        <f t="shared" si="41"/>
        <v>246</v>
      </c>
      <c r="C461" s="62" t="s">
        <v>136</v>
      </c>
      <c r="D461" s="62" t="s">
        <v>882</v>
      </c>
      <c r="E461" s="88">
        <f t="shared" si="42"/>
        <v>11745078.045090696</v>
      </c>
      <c r="F461" s="64"/>
      <c r="G461" s="64"/>
      <c r="H461" s="64"/>
      <c r="I461" s="64"/>
      <c r="J461" s="64"/>
      <c r="K461" s="64"/>
      <c r="L461" s="64"/>
      <c r="M461" s="64"/>
      <c r="N461" s="64">
        <v>11243583.877789754</v>
      </c>
      <c r="O461" s="64"/>
      <c r="P461" s="64"/>
      <c r="Q461" s="64"/>
      <c r="R461" s="64">
        <v>255619.76</v>
      </c>
      <c r="S461" s="65"/>
      <c r="T461" s="66">
        <v>245874.40730094089</v>
      </c>
      <c r="U461" s="67"/>
    </row>
    <row r="462" spans="1:21" x14ac:dyDescent="0.25">
      <c r="A462" s="60">
        <f t="shared" si="40"/>
        <v>435</v>
      </c>
      <c r="B462" s="61">
        <f t="shared" si="41"/>
        <v>247</v>
      </c>
      <c r="C462" s="62" t="s">
        <v>136</v>
      </c>
      <c r="D462" s="62" t="s">
        <v>883</v>
      </c>
      <c r="E462" s="88">
        <f t="shared" si="42"/>
        <v>31710390.69275048</v>
      </c>
      <c r="F462" s="64">
        <v>5279497.5508409571</v>
      </c>
      <c r="G462" s="64">
        <v>2417886.2464283649</v>
      </c>
      <c r="H462" s="64">
        <v>2564648.5</v>
      </c>
      <c r="I462" s="64"/>
      <c r="J462" s="64"/>
      <c r="K462" s="64"/>
      <c r="L462" s="64">
        <v>199139.50379714233</v>
      </c>
      <c r="M462" s="64"/>
      <c r="N462" s="64">
        <v>12823226.490161531</v>
      </c>
      <c r="O462" s="64"/>
      <c r="P462" s="64">
        <v>6542541.5999999996</v>
      </c>
      <c r="Q462" s="64"/>
      <c r="R462" s="64">
        <v>1197065.94</v>
      </c>
      <c r="S462" s="65"/>
      <c r="T462" s="66">
        <v>686384.86152248038</v>
      </c>
      <c r="U462" s="67"/>
    </row>
    <row r="463" spans="1:21" x14ac:dyDescent="0.25">
      <c r="A463" s="60">
        <f t="shared" si="40"/>
        <v>436</v>
      </c>
      <c r="B463" s="61">
        <f t="shared" si="41"/>
        <v>248</v>
      </c>
      <c r="C463" s="62" t="s">
        <v>963</v>
      </c>
      <c r="D463" s="62" t="s">
        <v>876</v>
      </c>
      <c r="E463" s="88">
        <f t="shared" si="42"/>
        <v>8451712.6778820977</v>
      </c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>
        <v>7987989.2220094213</v>
      </c>
      <c r="R463" s="64">
        <v>289042.31</v>
      </c>
      <c r="S463" s="65"/>
      <c r="T463" s="66">
        <v>174681.14587267689</v>
      </c>
      <c r="U463" s="67"/>
    </row>
    <row r="464" spans="1:21" x14ac:dyDescent="0.25">
      <c r="A464" s="60">
        <f t="shared" si="40"/>
        <v>437</v>
      </c>
      <c r="B464" s="61">
        <f t="shared" si="41"/>
        <v>249</v>
      </c>
      <c r="C464" s="62" t="s">
        <v>963</v>
      </c>
      <c r="D464" s="62" t="s">
        <v>877</v>
      </c>
      <c r="E464" s="88">
        <f t="shared" si="42"/>
        <v>7524757.6654845187</v>
      </c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>
        <v>7090316.1613531495</v>
      </c>
      <c r="R464" s="64">
        <v>279390.65000000002</v>
      </c>
      <c r="S464" s="65"/>
      <c r="T464" s="66">
        <v>155050.85413136869</v>
      </c>
      <c r="U464" s="67"/>
    </row>
    <row r="465" spans="1:21" x14ac:dyDescent="0.25">
      <c r="A465" s="60">
        <f t="shared" si="40"/>
        <v>438</v>
      </c>
      <c r="B465" s="61">
        <f t="shared" si="41"/>
        <v>250</v>
      </c>
      <c r="C465" s="62" t="s">
        <v>69</v>
      </c>
      <c r="D465" s="62" t="s">
        <v>875</v>
      </c>
      <c r="E465" s="63">
        <f t="shared" si="42"/>
        <v>19717753.870624889</v>
      </c>
      <c r="F465" s="64">
        <v>5809436.5199999996</v>
      </c>
      <c r="G465" s="64">
        <v>2662659.4013375328</v>
      </c>
      <c r="H465" s="64">
        <v>2785550.9406979568</v>
      </c>
      <c r="I465" s="64"/>
      <c r="J465" s="64">
        <v>0</v>
      </c>
      <c r="K465" s="64"/>
      <c r="L465" s="64">
        <v>255018.07492258408</v>
      </c>
      <c r="M465" s="64">
        <v>0</v>
      </c>
      <c r="N465" s="92">
        <v>6953406.8499999996</v>
      </c>
      <c r="O465" s="64">
        <v>0</v>
      </c>
      <c r="P465" s="64">
        <v>0</v>
      </c>
      <c r="Q465" s="64">
        <v>0</v>
      </c>
      <c r="R465" s="64">
        <v>588328.4</v>
      </c>
      <c r="S465" s="65"/>
      <c r="T465" s="66">
        <v>663353.68366681749</v>
      </c>
      <c r="U465" s="67"/>
    </row>
    <row r="466" spans="1:21" x14ac:dyDescent="0.25">
      <c r="A466" s="60">
        <f t="shared" si="40"/>
        <v>439</v>
      </c>
      <c r="B466" s="61">
        <f t="shared" si="41"/>
        <v>251</v>
      </c>
      <c r="C466" s="62" t="s">
        <v>69</v>
      </c>
      <c r="D466" s="62" t="s">
        <v>873</v>
      </c>
      <c r="E466" s="63">
        <f t="shared" si="42"/>
        <v>7852669.346012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/>
      <c r="L466" s="64"/>
      <c r="M466" s="64">
        <v>0</v>
      </c>
      <c r="N466" s="64"/>
      <c r="O466" s="64">
        <v>0</v>
      </c>
      <c r="P466" s="64">
        <v>0</v>
      </c>
      <c r="Q466" s="64">
        <v>7388743.1422140002</v>
      </c>
      <c r="R466" s="64"/>
      <c r="S466" s="65"/>
      <c r="T466" s="66">
        <v>463926.20379799994</v>
      </c>
      <c r="U466" s="67"/>
    </row>
    <row r="467" spans="1:21" x14ac:dyDescent="0.25">
      <c r="A467" s="60">
        <f t="shared" si="40"/>
        <v>440</v>
      </c>
      <c r="B467" s="61">
        <f t="shared" si="41"/>
        <v>252</v>
      </c>
      <c r="C467" s="62" t="s">
        <v>61</v>
      </c>
      <c r="D467" s="62" t="s">
        <v>884</v>
      </c>
      <c r="E467" s="63">
        <f t="shared" si="42"/>
        <v>2792199.2437518002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/>
      <c r="L467" s="64"/>
      <c r="M467" s="64">
        <v>0</v>
      </c>
      <c r="N467" s="64">
        <v>2736680.7350400002</v>
      </c>
      <c r="O467" s="64">
        <v>0</v>
      </c>
      <c r="P467" s="64">
        <v>0</v>
      </c>
      <c r="Q467" s="64"/>
      <c r="R467" s="64"/>
      <c r="S467" s="65"/>
      <c r="T467" s="66">
        <v>55518.508711800008</v>
      </c>
      <c r="U467" s="67"/>
    </row>
    <row r="468" spans="1:21" x14ac:dyDescent="0.25">
      <c r="A468" s="60">
        <f t="shared" si="40"/>
        <v>441</v>
      </c>
      <c r="B468" s="61">
        <f t="shared" si="41"/>
        <v>253</v>
      </c>
      <c r="C468" s="62" t="s">
        <v>61</v>
      </c>
      <c r="D468" s="62" t="s">
        <v>890</v>
      </c>
      <c r="E468" s="63">
        <f t="shared" si="42"/>
        <v>6636678.46</v>
      </c>
      <c r="F468" s="64">
        <v>1320658.3173839999</v>
      </c>
      <c r="G468" s="64">
        <v>0</v>
      </c>
      <c r="H468" s="64">
        <v>0</v>
      </c>
      <c r="I468" s="64">
        <v>737257.57992599998</v>
      </c>
      <c r="J468" s="64">
        <v>0</v>
      </c>
      <c r="K468" s="64"/>
      <c r="L468" s="64"/>
      <c r="M468" s="64">
        <v>0</v>
      </c>
      <c r="N468" s="64">
        <v>1613252.1332339998</v>
      </c>
      <c r="O468" s="64">
        <v>0</v>
      </c>
      <c r="P468" s="64">
        <v>2823485.5104120001</v>
      </c>
      <c r="Q468" s="64">
        <v>0</v>
      </c>
      <c r="R468" s="64"/>
      <c r="S468" s="65"/>
      <c r="T468" s="66">
        <v>142024.91904400001</v>
      </c>
      <c r="U468" s="67"/>
    </row>
    <row r="469" spans="1:21" x14ac:dyDescent="0.25">
      <c r="A469" s="60">
        <f t="shared" si="40"/>
        <v>442</v>
      </c>
      <c r="B469" s="61">
        <f t="shared" si="41"/>
        <v>254</v>
      </c>
      <c r="C469" s="62" t="s">
        <v>61</v>
      </c>
      <c r="D469" s="62" t="s">
        <v>885</v>
      </c>
      <c r="E469" s="63">
        <f t="shared" ref="E469:E484" si="43">SUBTOTAL(9,F469:T469)</f>
        <v>1958541.8158535203</v>
      </c>
      <c r="F469" s="64">
        <v>0</v>
      </c>
      <c r="G469" s="64">
        <v>0</v>
      </c>
      <c r="H469" s="64"/>
      <c r="I469" s="64">
        <v>0</v>
      </c>
      <c r="J469" s="64">
        <v>0</v>
      </c>
      <c r="K469" s="64"/>
      <c r="L469" s="64"/>
      <c r="M469" s="64">
        <v>0</v>
      </c>
      <c r="N469" s="64">
        <v>0</v>
      </c>
      <c r="O469" s="64">
        <v>0</v>
      </c>
      <c r="P469" s="64">
        <v>1919964.7690860003</v>
      </c>
      <c r="Q469" s="64">
        <v>0</v>
      </c>
      <c r="R469" s="64"/>
      <c r="S469" s="65"/>
      <c r="T469" s="66">
        <v>38577.046767520005</v>
      </c>
      <c r="U469" s="67"/>
    </row>
    <row r="470" spans="1:21" x14ac:dyDescent="0.25">
      <c r="A470" s="60">
        <f t="shared" si="40"/>
        <v>443</v>
      </c>
      <c r="B470" s="61">
        <f t="shared" si="41"/>
        <v>255</v>
      </c>
      <c r="C470" s="62" t="s">
        <v>61</v>
      </c>
      <c r="D470" s="62" t="s">
        <v>886</v>
      </c>
      <c r="E470" s="63">
        <f t="shared" si="43"/>
        <v>14630973.174031259</v>
      </c>
      <c r="F470" s="64">
        <v>2788532.6780639999</v>
      </c>
      <c r="G470" s="64">
        <v>0</v>
      </c>
      <c r="H470" s="64"/>
      <c r="I470" s="64">
        <v>1566144.8148779999</v>
      </c>
      <c r="J470" s="64">
        <v>0</v>
      </c>
      <c r="K470" s="64"/>
      <c r="L470" s="64">
        <v>616763.67752999999</v>
      </c>
      <c r="M470" s="64">
        <v>0</v>
      </c>
      <c r="N470" s="64">
        <v>3422622.3707340001</v>
      </c>
      <c r="O470" s="64">
        <v>0</v>
      </c>
      <c r="P470" s="64">
        <v>5952055.6381440004</v>
      </c>
      <c r="Q470" s="64"/>
      <c r="R470" s="64"/>
      <c r="S470" s="65"/>
      <c r="T470" s="66">
        <v>284853.99468125997</v>
      </c>
      <c r="U470" s="67"/>
    </row>
    <row r="471" spans="1:21" x14ac:dyDescent="0.25">
      <c r="A471" s="60">
        <f t="shared" si="40"/>
        <v>444</v>
      </c>
      <c r="B471" s="61">
        <f t="shared" si="41"/>
        <v>256</v>
      </c>
      <c r="C471" s="62" t="s">
        <v>61</v>
      </c>
      <c r="D471" s="62" t="s">
        <v>888</v>
      </c>
      <c r="E471" s="63">
        <f t="shared" si="43"/>
        <v>6038708.3828797396</v>
      </c>
      <c r="F471" s="64">
        <v>1207621.7677859999</v>
      </c>
      <c r="G471" s="64">
        <v>0</v>
      </c>
      <c r="H471" s="64">
        <v>0</v>
      </c>
      <c r="I471" s="64">
        <v>674481.81868200004</v>
      </c>
      <c r="J471" s="64">
        <v>0</v>
      </c>
      <c r="K471" s="64"/>
      <c r="L471" s="64"/>
      <c r="M471" s="64">
        <v>0</v>
      </c>
      <c r="N471" s="64">
        <v>1465015.4884260001</v>
      </c>
      <c r="O471" s="64">
        <v>0</v>
      </c>
      <c r="P471" s="64">
        <v>2572639.0445699999</v>
      </c>
      <c r="Q471" s="64"/>
      <c r="R471" s="64"/>
      <c r="S471" s="65"/>
      <c r="T471" s="66">
        <v>118950.26341574</v>
      </c>
      <c r="U471" s="67"/>
    </row>
    <row r="472" spans="1:21" x14ac:dyDescent="0.25">
      <c r="A472" s="60">
        <f t="shared" si="40"/>
        <v>445</v>
      </c>
      <c r="B472" s="61">
        <f t="shared" si="41"/>
        <v>257</v>
      </c>
      <c r="C472" s="62" t="s">
        <v>61</v>
      </c>
      <c r="D472" s="62" t="s">
        <v>887</v>
      </c>
      <c r="E472" s="63">
        <f t="shared" si="43"/>
        <v>7180288.0364000006</v>
      </c>
      <c r="F472" s="64">
        <v>1536923.9460959998</v>
      </c>
      <c r="G472" s="64">
        <v>0</v>
      </c>
      <c r="H472" s="64">
        <v>0</v>
      </c>
      <c r="I472" s="64"/>
      <c r="J472" s="64">
        <v>0</v>
      </c>
      <c r="K472" s="64"/>
      <c r="L472" s="64">
        <v>334977.14468904003</v>
      </c>
      <c r="M472" s="64">
        <v>0</v>
      </c>
      <c r="N472" s="64">
        <v>1876117.9502100002</v>
      </c>
      <c r="O472" s="64">
        <v>0</v>
      </c>
      <c r="P472" s="64">
        <v>3278610.8314260002</v>
      </c>
      <c r="Q472" s="64"/>
      <c r="R472" s="64"/>
      <c r="S472" s="65"/>
      <c r="T472" s="66">
        <v>153658.16397896002</v>
      </c>
      <c r="U472" s="67"/>
    </row>
    <row r="473" spans="1:21" x14ac:dyDescent="0.25">
      <c r="A473" s="60">
        <f t="shared" si="40"/>
        <v>446</v>
      </c>
      <c r="B473" s="61">
        <f t="shared" si="41"/>
        <v>258</v>
      </c>
      <c r="C473" s="62" t="s">
        <v>72</v>
      </c>
      <c r="D473" s="62" t="s">
        <v>891</v>
      </c>
      <c r="E473" s="63">
        <f t="shared" si="43"/>
        <v>16911087.399999999</v>
      </c>
      <c r="F473" s="64">
        <v>1683565.8969639998</v>
      </c>
      <c r="G473" s="64">
        <v>1040219.4703179998</v>
      </c>
      <c r="H473" s="64">
        <v>488517.72999399999</v>
      </c>
      <c r="I473" s="64">
        <v>423331.30508199998</v>
      </c>
      <c r="J473" s="64">
        <v>0</v>
      </c>
      <c r="K473" s="64"/>
      <c r="L473" s="64">
        <v>147640.393614</v>
      </c>
      <c r="M473" s="64">
        <v>0</v>
      </c>
      <c r="N473" s="64">
        <v>4805741.3532099994</v>
      </c>
      <c r="O473" s="64">
        <v>0</v>
      </c>
      <c r="P473" s="64">
        <v>4013795.9746779995</v>
      </c>
      <c r="Q473" s="64">
        <v>3549227.0136119998</v>
      </c>
      <c r="R473" s="64">
        <v>367161.21</v>
      </c>
      <c r="S473" s="64">
        <f>38674.67</f>
        <v>38674.67</v>
      </c>
      <c r="T473" s="66">
        <v>353212.38252800005</v>
      </c>
      <c r="U473" s="67"/>
    </row>
    <row r="474" spans="1:21" x14ac:dyDescent="0.25">
      <c r="A474" s="60">
        <f t="shared" ref="A474:A485" si="44">+A473+1</f>
        <v>447</v>
      </c>
      <c r="B474" s="61">
        <f t="shared" ref="B474:B485" si="45">+B473+1</f>
        <v>259</v>
      </c>
      <c r="C474" s="62" t="s">
        <v>70</v>
      </c>
      <c r="D474" s="62" t="s">
        <v>889</v>
      </c>
      <c r="E474" s="63">
        <f t="shared" si="43"/>
        <v>5471090.385000119</v>
      </c>
      <c r="F474" s="64">
        <v>2405495.4171779994</v>
      </c>
      <c r="G474" s="64">
        <v>0</v>
      </c>
      <c r="H474" s="64">
        <v>0</v>
      </c>
      <c r="I474" s="64">
        <v>0</v>
      </c>
      <c r="J474" s="64">
        <v>0</v>
      </c>
      <c r="K474" s="64"/>
      <c r="L474" s="64"/>
      <c r="M474" s="64">
        <v>0</v>
      </c>
      <c r="N474" s="64">
        <v>2946332.8479479998</v>
      </c>
      <c r="O474" s="64">
        <v>0</v>
      </c>
      <c r="P474" s="64">
        <v>0</v>
      </c>
      <c r="Q474" s="64"/>
      <c r="R474" s="64"/>
      <c r="S474" s="65"/>
      <c r="T474" s="66">
        <v>119262.11987412002</v>
      </c>
      <c r="U474" s="67"/>
    </row>
    <row r="475" spans="1:21" x14ac:dyDescent="0.25">
      <c r="A475" s="60">
        <f t="shared" si="44"/>
        <v>448</v>
      </c>
      <c r="B475" s="61">
        <f t="shared" si="45"/>
        <v>260</v>
      </c>
      <c r="C475" s="62" t="s">
        <v>62</v>
      </c>
      <c r="D475" s="62" t="s">
        <v>905</v>
      </c>
      <c r="E475" s="88">
        <f>SUBTOTAL(9,F475:T475)</f>
        <v>4258070.3745964803</v>
      </c>
      <c r="F475" s="64">
        <v>0</v>
      </c>
      <c r="G475" s="64">
        <v>0</v>
      </c>
      <c r="H475" s="64"/>
      <c r="I475" s="64"/>
      <c r="J475" s="64"/>
      <c r="K475" s="64"/>
      <c r="L475" s="64"/>
      <c r="M475" s="64">
        <v>0</v>
      </c>
      <c r="N475" s="64">
        <v>0</v>
      </c>
      <c r="O475" s="64">
        <v>0</v>
      </c>
      <c r="P475" s="64">
        <v>0</v>
      </c>
      <c r="Q475" s="64">
        <v>4053675.3840281158</v>
      </c>
      <c r="R475" s="64">
        <v>87235.48</v>
      </c>
      <c r="S475" s="65">
        <v>28513.84</v>
      </c>
      <c r="T475" s="66">
        <v>88645.670568364687</v>
      </c>
      <c r="U475" s="67"/>
    </row>
    <row r="476" spans="1:21" x14ac:dyDescent="0.25">
      <c r="A476" s="60">
        <f t="shared" si="44"/>
        <v>449</v>
      </c>
      <c r="B476" s="61">
        <f t="shared" si="45"/>
        <v>261</v>
      </c>
      <c r="C476" s="62" t="s">
        <v>62</v>
      </c>
      <c r="D476" s="62" t="s">
        <v>906</v>
      </c>
      <c r="E476" s="88">
        <f>SUBTOTAL(9,F476:T476)</f>
        <v>10942766.959917923</v>
      </c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>
        <v>10595319.46242368</v>
      </c>
      <c r="R476" s="64">
        <v>87235.48</v>
      </c>
      <c r="S476" s="65">
        <v>28513.84</v>
      </c>
      <c r="T476" s="66">
        <v>231698.17749424357</v>
      </c>
      <c r="U476" s="67"/>
    </row>
    <row r="477" spans="1:21" x14ac:dyDescent="0.25">
      <c r="A477" s="60">
        <f t="shared" si="44"/>
        <v>450</v>
      </c>
      <c r="B477" s="61">
        <f t="shared" si="45"/>
        <v>262</v>
      </c>
      <c r="C477" s="62" t="s">
        <v>62</v>
      </c>
      <c r="D477" s="62" t="s">
        <v>360</v>
      </c>
      <c r="E477" s="63">
        <f t="shared" si="43"/>
        <v>1634270.6037864399</v>
      </c>
      <c r="F477" s="64">
        <v>0</v>
      </c>
      <c r="G477" s="64">
        <v>0</v>
      </c>
      <c r="H477" s="64">
        <v>0</v>
      </c>
      <c r="I477" s="64">
        <v>0</v>
      </c>
      <c r="J477" s="89">
        <v>1611028.9</v>
      </c>
      <c r="K477" s="64"/>
      <c r="L477" s="64"/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/>
      <c r="S477" s="65"/>
      <c r="T477" s="66">
        <v>23241.703786440004</v>
      </c>
      <c r="U477" s="67"/>
    </row>
    <row r="478" spans="1:21" x14ac:dyDescent="0.25">
      <c r="A478" s="60">
        <f t="shared" si="44"/>
        <v>451</v>
      </c>
      <c r="B478" s="61">
        <f t="shared" si="45"/>
        <v>263</v>
      </c>
      <c r="C478" s="62" t="s">
        <v>62</v>
      </c>
      <c r="D478" s="62" t="s">
        <v>893</v>
      </c>
      <c r="E478" s="63">
        <f t="shared" si="43"/>
        <v>5253658.67047418</v>
      </c>
      <c r="F478" s="64">
        <v>0</v>
      </c>
      <c r="G478" s="64">
        <v>0</v>
      </c>
      <c r="H478" s="64">
        <v>0</v>
      </c>
      <c r="I478" s="64">
        <v>0</v>
      </c>
      <c r="J478" s="64">
        <v>316916.15000000002</v>
      </c>
      <c r="K478" s="64"/>
      <c r="L478" s="64"/>
      <c r="M478" s="64">
        <v>0</v>
      </c>
      <c r="N478" s="64">
        <v>0</v>
      </c>
      <c r="O478" s="64">
        <v>0</v>
      </c>
      <c r="P478" s="64">
        <v>0</v>
      </c>
      <c r="Q478" s="64">
        <v>4929968.3148281993</v>
      </c>
      <c r="R478" s="64"/>
      <c r="S478" s="65"/>
      <c r="T478" s="66">
        <v>6774.2056459800015</v>
      </c>
      <c r="U478" s="67"/>
    </row>
    <row r="479" spans="1:21" x14ac:dyDescent="0.25">
      <c r="A479" s="60">
        <f t="shared" si="44"/>
        <v>452</v>
      </c>
      <c r="B479" s="61">
        <f t="shared" si="45"/>
        <v>264</v>
      </c>
      <c r="C479" s="62" t="s">
        <v>62</v>
      </c>
      <c r="D479" s="62" t="s">
        <v>894</v>
      </c>
      <c r="E479" s="63">
        <f t="shared" si="43"/>
        <v>5267989.1763434606</v>
      </c>
      <c r="F479" s="64">
        <v>0</v>
      </c>
      <c r="G479" s="64">
        <v>0</v>
      </c>
      <c r="H479" s="64">
        <v>0</v>
      </c>
      <c r="I479" s="64">
        <v>0</v>
      </c>
      <c r="J479" s="64">
        <v>375448.21</v>
      </c>
      <c r="K479" s="64"/>
      <c r="L479" s="64"/>
      <c r="M479" s="64">
        <v>0</v>
      </c>
      <c r="N479" s="64">
        <v>0</v>
      </c>
      <c r="O479" s="64">
        <v>0</v>
      </c>
      <c r="P479" s="64">
        <v>0</v>
      </c>
      <c r="Q479" s="64">
        <v>4889922.8863434605</v>
      </c>
      <c r="R479" s="64"/>
      <c r="S479" s="65"/>
      <c r="T479" s="66">
        <v>2618.08</v>
      </c>
      <c r="U479" s="67"/>
    </row>
    <row r="480" spans="1:21" x14ac:dyDescent="0.25">
      <c r="A480" s="60">
        <f t="shared" si="44"/>
        <v>453</v>
      </c>
      <c r="B480" s="61">
        <f t="shared" si="45"/>
        <v>265</v>
      </c>
      <c r="C480" s="62" t="s">
        <v>63</v>
      </c>
      <c r="D480" s="62" t="s">
        <v>896</v>
      </c>
      <c r="E480" s="63">
        <f t="shared" si="43"/>
        <v>1247394.4612871199</v>
      </c>
      <c r="F480" s="64">
        <v>0</v>
      </c>
      <c r="G480" s="64">
        <v>0</v>
      </c>
      <c r="H480" s="64">
        <v>0</v>
      </c>
      <c r="I480" s="64">
        <v>0</v>
      </c>
      <c r="J480" s="64"/>
      <c r="K480" s="64"/>
      <c r="L480" s="64"/>
      <c r="M480" s="64">
        <v>0</v>
      </c>
      <c r="N480" s="64">
        <v>0</v>
      </c>
      <c r="O480" s="64">
        <v>0</v>
      </c>
      <c r="P480" s="64">
        <v>0</v>
      </c>
      <c r="Q480" s="64">
        <v>1097350.6499999999</v>
      </c>
      <c r="R480" s="64"/>
      <c r="S480" s="65"/>
      <c r="T480" s="66">
        <v>150043.81128712001</v>
      </c>
      <c r="U480" s="67"/>
    </row>
    <row r="481" spans="1:21" x14ac:dyDescent="0.25">
      <c r="A481" s="60">
        <f t="shared" si="44"/>
        <v>454</v>
      </c>
      <c r="B481" s="61">
        <f t="shared" si="45"/>
        <v>266</v>
      </c>
      <c r="C481" s="62" t="s">
        <v>63</v>
      </c>
      <c r="D481" s="62" t="s">
        <v>367</v>
      </c>
      <c r="E481" s="63">
        <f t="shared" si="43"/>
        <v>6512366.1313439999</v>
      </c>
      <c r="F481" s="64">
        <v>0</v>
      </c>
      <c r="G481" s="64">
        <v>0</v>
      </c>
      <c r="H481" s="64">
        <v>0</v>
      </c>
      <c r="I481" s="64">
        <v>0</v>
      </c>
      <c r="J481" s="64"/>
      <c r="K481" s="64"/>
      <c r="L481" s="64"/>
      <c r="M481" s="64">
        <v>0</v>
      </c>
      <c r="N481" s="64">
        <v>0</v>
      </c>
      <c r="O481" s="64">
        <v>0</v>
      </c>
      <c r="P481" s="64"/>
      <c r="Q481" s="64">
        <v>6360000</v>
      </c>
      <c r="R481" s="64"/>
      <c r="S481" s="65"/>
      <c r="T481" s="66">
        <v>152366.13134399999</v>
      </c>
      <c r="U481" s="67"/>
    </row>
    <row r="482" spans="1:21" x14ac:dyDescent="0.25">
      <c r="A482" s="60">
        <f t="shared" si="44"/>
        <v>455</v>
      </c>
      <c r="B482" s="61">
        <f t="shared" si="45"/>
        <v>267</v>
      </c>
      <c r="C482" s="62" t="s">
        <v>63</v>
      </c>
      <c r="D482" s="62" t="s">
        <v>365</v>
      </c>
      <c r="E482" s="63">
        <f t="shared" si="43"/>
        <v>6210065.9474952389</v>
      </c>
      <c r="F482" s="64"/>
      <c r="G482" s="64">
        <v>0</v>
      </c>
      <c r="H482" s="64">
        <v>0</v>
      </c>
      <c r="I482" s="64">
        <v>0</v>
      </c>
      <c r="J482" s="64"/>
      <c r="K482" s="64"/>
      <c r="L482" s="64"/>
      <c r="M482" s="64">
        <v>0</v>
      </c>
      <c r="N482" s="64">
        <v>0</v>
      </c>
      <c r="O482" s="64">
        <v>0</v>
      </c>
      <c r="P482" s="64">
        <v>5910943.6999999993</v>
      </c>
      <c r="Q482" s="64"/>
      <c r="R482" s="64"/>
      <c r="S482" s="65"/>
      <c r="T482" s="66">
        <v>299122.24749524001</v>
      </c>
      <c r="U482" s="67"/>
    </row>
    <row r="483" spans="1:21" x14ac:dyDescent="0.25">
      <c r="A483" s="60">
        <f t="shared" si="44"/>
        <v>456</v>
      </c>
      <c r="B483" s="61">
        <f t="shared" si="45"/>
        <v>268</v>
      </c>
      <c r="C483" s="62" t="s">
        <v>63</v>
      </c>
      <c r="D483" s="62" t="s">
        <v>897</v>
      </c>
      <c r="E483" s="63">
        <f t="shared" si="43"/>
        <v>549645.73751071992</v>
      </c>
      <c r="F483" s="64"/>
      <c r="G483" s="64"/>
      <c r="H483" s="64"/>
      <c r="I483" s="64"/>
      <c r="J483" s="64">
        <v>530082.84</v>
      </c>
      <c r="K483" s="64"/>
      <c r="L483" s="64"/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/>
      <c r="S483" s="65"/>
      <c r="T483" s="66">
        <v>19562.897510720002</v>
      </c>
      <c r="U483" s="67"/>
    </row>
    <row r="484" spans="1:21" x14ac:dyDescent="0.25">
      <c r="A484" s="60">
        <f t="shared" si="44"/>
        <v>457</v>
      </c>
      <c r="B484" s="61">
        <f t="shared" si="45"/>
        <v>269</v>
      </c>
      <c r="C484" s="62" t="s">
        <v>63</v>
      </c>
      <c r="D484" s="62" t="s">
        <v>366</v>
      </c>
      <c r="E484" s="63">
        <f t="shared" si="43"/>
        <v>13274787.34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/>
      <c r="L484" s="64"/>
      <c r="M484" s="64">
        <v>0</v>
      </c>
      <c r="N484" s="64">
        <v>0</v>
      </c>
      <c r="O484" s="64">
        <v>0</v>
      </c>
      <c r="P484" s="64">
        <v>7231455.4199999999</v>
      </c>
      <c r="Q484" s="64">
        <v>5881945.1899999995</v>
      </c>
      <c r="R484" s="64"/>
      <c r="S484" s="65"/>
      <c r="T484" s="66">
        <v>161386.72999999998</v>
      </c>
      <c r="U484" s="67"/>
    </row>
    <row r="485" spans="1:21" x14ac:dyDescent="0.25">
      <c r="A485" s="60">
        <f t="shared" si="44"/>
        <v>458</v>
      </c>
      <c r="B485" s="61">
        <f t="shared" si="45"/>
        <v>270</v>
      </c>
      <c r="C485" s="62" t="s">
        <v>964</v>
      </c>
      <c r="D485" s="62" t="s">
        <v>986</v>
      </c>
      <c r="E485" s="88">
        <f>SUBTOTAL(9,F485:T485)</f>
        <v>6815055.1868583523</v>
      </c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>
        <v>6540166.4526155833</v>
      </c>
      <c r="R485" s="64">
        <v>90475.4</v>
      </c>
      <c r="S485" s="65">
        <v>41393.14</v>
      </c>
      <c r="T485" s="66">
        <v>143020.19424276875</v>
      </c>
      <c r="U485" s="67"/>
    </row>
    <row r="486" spans="1:21" s="87" customFormat="1" ht="21" customHeight="1" x14ac:dyDescent="0.25">
      <c r="A486" s="98"/>
      <c r="B486" s="82"/>
      <c r="C486" s="82"/>
      <c r="D486" s="83">
        <v>2024</v>
      </c>
      <c r="E486" s="99">
        <f>SUM(F486:T486)</f>
        <v>3821510050.6445518</v>
      </c>
      <c r="F486" s="99">
        <f>SUM(F487:F804)</f>
        <v>723904467.78692007</v>
      </c>
      <c r="G486" s="99">
        <f t="shared" ref="G486:T486" si="46">SUM(G487:G804)</f>
        <v>201242419.8453286</v>
      </c>
      <c r="H486" s="99">
        <f t="shared" si="46"/>
        <v>289585632.34035575</v>
      </c>
      <c r="I486" s="99">
        <f t="shared" si="46"/>
        <v>160890062.73749432</v>
      </c>
      <c r="J486" s="99">
        <f t="shared" si="46"/>
        <v>66601249.124536529</v>
      </c>
      <c r="K486" s="99">
        <f t="shared" si="46"/>
        <v>0</v>
      </c>
      <c r="L486" s="99">
        <f t="shared" si="46"/>
        <v>26616285.965695474</v>
      </c>
      <c r="M486" s="99">
        <f t="shared" si="46"/>
        <v>265919161.26963282</v>
      </c>
      <c r="N486" s="99">
        <f t="shared" si="46"/>
        <v>529269743.33791751</v>
      </c>
      <c r="O486" s="99">
        <f t="shared" si="46"/>
        <v>140937273.51284248</v>
      </c>
      <c r="P486" s="99">
        <f t="shared" si="46"/>
        <v>987235045.48540902</v>
      </c>
      <c r="Q486" s="99">
        <f t="shared" si="46"/>
        <v>239471212.81207776</v>
      </c>
      <c r="R486" s="99">
        <f t="shared" si="46"/>
        <v>72230078.690465346</v>
      </c>
      <c r="S486" s="99">
        <f t="shared" si="46"/>
        <v>9720984.0959759876</v>
      </c>
      <c r="T486" s="99">
        <f t="shared" si="46"/>
        <v>107886433.63990027</v>
      </c>
      <c r="U486" s="100"/>
    </row>
    <row r="487" spans="1:21" s="74" customFormat="1" x14ac:dyDescent="0.25">
      <c r="A487" s="60">
        <f>A485+1</f>
        <v>459</v>
      </c>
      <c r="B487" s="101">
        <f t="shared" ref="B487" si="47">+B486+1</f>
        <v>1</v>
      </c>
      <c r="C487" s="62" t="s">
        <v>49</v>
      </c>
      <c r="D487" s="102" t="s">
        <v>673</v>
      </c>
      <c r="E487" s="88">
        <f t="shared" ref="E487:E565" si="48">SUBTOTAL(9,F487:T487)</f>
        <v>12813150</v>
      </c>
      <c r="F487" s="103">
        <v>0</v>
      </c>
      <c r="G487" s="103">
        <v>0</v>
      </c>
      <c r="H487" s="103">
        <v>0</v>
      </c>
      <c r="I487" s="103">
        <v>0</v>
      </c>
      <c r="J487" s="103"/>
      <c r="K487" s="103">
        <v>0</v>
      </c>
      <c r="L487" s="103"/>
      <c r="M487" s="103">
        <v>12037390.646400001</v>
      </c>
      <c r="N487" s="103">
        <v>0</v>
      </c>
      <c r="O487" s="103">
        <v>0</v>
      </c>
      <c r="P487" s="103">
        <v>0</v>
      </c>
      <c r="Q487" s="103">
        <v>0</v>
      </c>
      <c r="R487" s="103">
        <v>384394.5</v>
      </c>
      <c r="S487" s="104">
        <v>128131.5</v>
      </c>
      <c r="T487" s="105">
        <v>263233.35360000003</v>
      </c>
      <c r="U487" s="67"/>
    </row>
    <row r="488" spans="1:21" s="106" customFormat="1" x14ac:dyDescent="0.25">
      <c r="A488" s="60">
        <f>+A487+1</f>
        <v>460</v>
      </c>
      <c r="B488" s="61">
        <f>+B487+1</f>
        <v>2</v>
      </c>
      <c r="C488" s="62" t="s">
        <v>49</v>
      </c>
      <c r="D488" s="62" t="s">
        <v>674</v>
      </c>
      <c r="E488" s="88">
        <f t="shared" si="48"/>
        <v>14720955.054879867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/>
      <c r="L488" s="64"/>
      <c r="M488" s="64">
        <v>0</v>
      </c>
      <c r="N488" s="64">
        <v>0</v>
      </c>
      <c r="O488" s="64">
        <v>14405926.616705438</v>
      </c>
      <c r="P488" s="64">
        <v>0</v>
      </c>
      <c r="Q488" s="64">
        <v>0</v>
      </c>
      <c r="R488" s="64"/>
      <c r="S488" s="65"/>
      <c r="T488" s="66">
        <v>315028.43817442917</v>
      </c>
      <c r="U488" s="67"/>
    </row>
    <row r="489" spans="1:21" s="106" customFormat="1" x14ac:dyDescent="0.25">
      <c r="A489" s="60">
        <f t="shared" ref="A489:A552" si="49">+A488+1</f>
        <v>461</v>
      </c>
      <c r="B489" s="61">
        <f t="shared" ref="B489:B552" si="50">+B488+1</f>
        <v>3</v>
      </c>
      <c r="C489" s="62" t="s">
        <v>49</v>
      </c>
      <c r="D489" s="62" t="s">
        <v>675</v>
      </c>
      <c r="E489" s="88">
        <f t="shared" si="48"/>
        <v>38034141.436050743</v>
      </c>
      <c r="F489" s="64">
        <v>0</v>
      </c>
      <c r="G489" s="64">
        <v>0</v>
      </c>
      <c r="H489" s="64">
        <v>11100823.818992184</v>
      </c>
      <c r="I489" s="64">
        <v>0</v>
      </c>
      <c r="J489" s="64">
        <v>0</v>
      </c>
      <c r="K489" s="64"/>
      <c r="L489" s="64">
        <v>0</v>
      </c>
      <c r="M489" s="64">
        <v>0</v>
      </c>
      <c r="N489" s="64">
        <v>0</v>
      </c>
      <c r="O489" s="64">
        <v>26119386.990327071</v>
      </c>
      <c r="P489" s="64">
        <v>0</v>
      </c>
      <c r="Q489" s="64">
        <v>0</v>
      </c>
      <c r="R489" s="64"/>
      <c r="S489" s="65"/>
      <c r="T489" s="66">
        <v>813930.62673148618</v>
      </c>
      <c r="U489" s="67"/>
    </row>
    <row r="490" spans="1:21" x14ac:dyDescent="0.25">
      <c r="A490" s="60">
        <f t="shared" si="49"/>
        <v>462</v>
      </c>
      <c r="B490" s="61">
        <f t="shared" si="50"/>
        <v>4</v>
      </c>
      <c r="C490" s="62" t="s">
        <v>49</v>
      </c>
      <c r="D490" s="62" t="s">
        <v>672</v>
      </c>
      <c r="E490" s="63">
        <f t="shared" si="48"/>
        <v>9929571.9799999986</v>
      </c>
      <c r="F490" s="64">
        <v>2320624.2799999998</v>
      </c>
      <c r="G490" s="64">
        <v>1208886.8700000001</v>
      </c>
      <c r="H490" s="64"/>
      <c r="I490" s="64">
        <v>480187.06</v>
      </c>
      <c r="J490" s="64">
        <v>0</v>
      </c>
      <c r="K490" s="64"/>
      <c r="L490" s="64"/>
      <c r="M490" s="64">
        <v>0</v>
      </c>
      <c r="N490" s="64"/>
      <c r="O490" s="64">
        <v>4924704.8499999996</v>
      </c>
      <c r="P490" s="64"/>
      <c r="Q490" s="64"/>
      <c r="R490" s="64"/>
      <c r="S490" s="65"/>
      <c r="T490" s="65">
        <v>995168.92</v>
      </c>
      <c r="U490" s="67"/>
    </row>
    <row r="491" spans="1:21" s="106" customFormat="1" x14ac:dyDescent="0.25">
      <c r="A491" s="60">
        <f t="shared" si="49"/>
        <v>463</v>
      </c>
      <c r="B491" s="61">
        <f t="shared" si="50"/>
        <v>5</v>
      </c>
      <c r="C491" s="62" t="s">
        <v>49</v>
      </c>
      <c r="D491" s="62" t="s">
        <v>676</v>
      </c>
      <c r="E491" s="88">
        <f t="shared" si="48"/>
        <v>26448688.79380757</v>
      </c>
      <c r="F491" s="64">
        <v>7353309.2599999998</v>
      </c>
      <c r="G491" s="64">
        <v>0</v>
      </c>
      <c r="H491" s="64">
        <v>1849726.7764977436</v>
      </c>
      <c r="I491" s="64">
        <v>1953691.0272434026</v>
      </c>
      <c r="J491" s="64">
        <v>0</v>
      </c>
      <c r="K491" s="64"/>
      <c r="L491" s="64">
        <v>200996.47018181099</v>
      </c>
      <c r="M491" s="64">
        <v>0</v>
      </c>
      <c r="N491" s="64"/>
      <c r="O491" s="64"/>
      <c r="P491" s="64">
        <v>12058761.405217756</v>
      </c>
      <c r="Q491" s="64">
        <v>0</v>
      </c>
      <c r="R491" s="64">
        <v>2335704.4224699792</v>
      </c>
      <c r="S491" s="65">
        <v>239364.94158844746</v>
      </c>
      <c r="T491" s="66">
        <v>457134.49060842721</v>
      </c>
      <c r="U491" s="67"/>
    </row>
    <row r="492" spans="1:21" s="106" customFormat="1" x14ac:dyDescent="0.25">
      <c r="A492" s="60">
        <f t="shared" si="49"/>
        <v>464</v>
      </c>
      <c r="B492" s="61">
        <f t="shared" si="50"/>
        <v>6</v>
      </c>
      <c r="C492" s="62" t="s">
        <v>49</v>
      </c>
      <c r="D492" s="62" t="s">
        <v>677</v>
      </c>
      <c r="E492" s="88">
        <f t="shared" si="48"/>
        <v>24243496.46028031</v>
      </c>
      <c r="F492" s="64">
        <v>5056669.2</v>
      </c>
      <c r="G492" s="64">
        <v>0</v>
      </c>
      <c r="H492" s="64">
        <v>1858585.1135633669</v>
      </c>
      <c r="I492" s="64">
        <v>1963047.2488547764</v>
      </c>
      <c r="J492" s="64">
        <v>0</v>
      </c>
      <c r="K492" s="64"/>
      <c r="L492" s="64">
        <v>201959.04179211229</v>
      </c>
      <c r="M492" s="64">
        <v>0</v>
      </c>
      <c r="N492" s="64"/>
      <c r="O492" s="64"/>
      <c r="P492" s="64">
        <v>12116510.784465864</v>
      </c>
      <c r="Q492" s="64">
        <v>0</v>
      </c>
      <c r="R492" s="64">
        <v>2346890.1053085448</v>
      </c>
      <c r="S492" s="65">
        <v>240511.25971565672</v>
      </c>
      <c r="T492" s="66">
        <v>459323.70657998748</v>
      </c>
      <c r="U492" s="67"/>
    </row>
    <row r="493" spans="1:21" s="106" customFormat="1" x14ac:dyDescent="0.25">
      <c r="A493" s="60">
        <f t="shared" si="49"/>
        <v>465</v>
      </c>
      <c r="B493" s="61">
        <f t="shared" si="50"/>
        <v>7</v>
      </c>
      <c r="C493" s="62" t="s">
        <v>49</v>
      </c>
      <c r="D493" s="62" t="s">
        <v>970</v>
      </c>
      <c r="E493" s="88">
        <f t="shared" si="48"/>
        <v>13907801.897</v>
      </c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>
        <v>12113055.693399739</v>
      </c>
      <c r="Q493" s="64">
        <v>0</v>
      </c>
      <c r="R493" s="64">
        <v>1390780.1897</v>
      </c>
      <c r="S493" s="65">
        <v>139078.01897</v>
      </c>
      <c r="T493" s="66">
        <v>264887.99493026198</v>
      </c>
      <c r="U493" s="67"/>
    </row>
    <row r="494" spans="1:21" x14ac:dyDescent="0.25">
      <c r="A494" s="60">
        <f t="shared" si="49"/>
        <v>466</v>
      </c>
      <c r="B494" s="61">
        <f t="shared" si="50"/>
        <v>8</v>
      </c>
      <c r="C494" s="62" t="s">
        <v>50</v>
      </c>
      <c r="D494" s="62" t="s">
        <v>618</v>
      </c>
      <c r="E494" s="63">
        <f>SUBTOTAL(9,F494:T494)</f>
        <v>19115933.398649458</v>
      </c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>
        <v>18418596.889079686</v>
      </c>
      <c r="Q494" s="64"/>
      <c r="R494" s="64">
        <v>409917.87</v>
      </c>
      <c r="S494" s="65"/>
      <c r="T494" s="66">
        <v>287418.63956977235</v>
      </c>
      <c r="U494" s="67"/>
    </row>
    <row r="495" spans="1:21" x14ac:dyDescent="0.25">
      <c r="A495" s="60">
        <f t="shared" si="49"/>
        <v>467</v>
      </c>
      <c r="B495" s="61">
        <f t="shared" si="50"/>
        <v>9</v>
      </c>
      <c r="C495" s="62" t="s">
        <v>50</v>
      </c>
      <c r="D495" s="62" t="s">
        <v>615</v>
      </c>
      <c r="E495" s="63">
        <f t="shared" ref="E495" si="51">SUBTOTAL(9,F495:T495)</f>
        <v>24518933.292658038</v>
      </c>
      <c r="F495" s="64"/>
      <c r="G495" s="64"/>
      <c r="H495" s="64"/>
      <c r="I495" s="64">
        <v>0</v>
      </c>
      <c r="J495" s="64">
        <v>0</v>
      </c>
      <c r="K495" s="64"/>
      <c r="L495" s="64">
        <v>0</v>
      </c>
      <c r="M495" s="64">
        <v>0</v>
      </c>
      <c r="N495" s="64">
        <v>0</v>
      </c>
      <c r="O495" s="64">
        <v>0</v>
      </c>
      <c r="P495" s="64">
        <v>23029662.709043846</v>
      </c>
      <c r="Q495" s="64"/>
      <c r="R495" s="64">
        <v>840138.45000000007</v>
      </c>
      <c r="S495" s="65"/>
      <c r="T495" s="66">
        <v>649132.13361419411</v>
      </c>
      <c r="U495" s="67"/>
    </row>
    <row r="496" spans="1:21" x14ac:dyDescent="0.25">
      <c r="A496" s="60">
        <f t="shared" si="49"/>
        <v>468</v>
      </c>
      <c r="B496" s="61">
        <f t="shared" si="50"/>
        <v>10</v>
      </c>
      <c r="C496" s="62" t="s">
        <v>51</v>
      </c>
      <c r="D496" s="62" t="s">
        <v>995</v>
      </c>
      <c r="E496" s="63">
        <f>SUBTOTAL(9,F496:T496)</f>
        <v>3192771.5425127186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/>
      <c r="L496" s="64"/>
      <c r="M496" s="64">
        <v>0</v>
      </c>
      <c r="N496" s="64">
        <v>0</v>
      </c>
      <c r="O496" s="64"/>
      <c r="P496" s="64">
        <v>3110879.85</v>
      </c>
      <c r="Q496" s="64"/>
      <c r="R496" s="64"/>
      <c r="S496" s="65"/>
      <c r="T496" s="66">
        <v>81891.69251271851</v>
      </c>
      <c r="U496" s="67"/>
    </row>
    <row r="497" spans="1:21" x14ac:dyDescent="0.25">
      <c r="A497" s="60">
        <f t="shared" si="49"/>
        <v>469</v>
      </c>
      <c r="B497" s="61">
        <f t="shared" si="50"/>
        <v>11</v>
      </c>
      <c r="C497" s="62" t="s">
        <v>51</v>
      </c>
      <c r="D497" s="62" t="s">
        <v>624</v>
      </c>
      <c r="E497" s="88">
        <f t="shared" si="48"/>
        <v>32932723.469613533</v>
      </c>
      <c r="F497" s="64">
        <v>15445175.692750497</v>
      </c>
      <c r="G497" s="64"/>
      <c r="H497" s="64"/>
      <c r="I497" s="64">
        <v>4394988.2082883734</v>
      </c>
      <c r="J497" s="64">
        <v>0</v>
      </c>
      <c r="K497" s="64"/>
      <c r="L497" s="64">
        <v>498856.69936996914</v>
      </c>
      <c r="M497" s="64">
        <v>0</v>
      </c>
      <c r="N497" s="64">
        <v>0</v>
      </c>
      <c r="O497" s="64">
        <v>0</v>
      </c>
      <c r="P497" s="64">
        <v>0</v>
      </c>
      <c r="Q497" s="64">
        <v>11673633.711611507</v>
      </c>
      <c r="R497" s="64"/>
      <c r="S497" s="65"/>
      <c r="T497" s="66">
        <v>920069.15759318683</v>
      </c>
      <c r="U497" s="67"/>
    </row>
    <row r="498" spans="1:21" x14ac:dyDescent="0.25">
      <c r="A498" s="60">
        <f t="shared" si="49"/>
        <v>470</v>
      </c>
      <c r="B498" s="61">
        <f t="shared" si="50"/>
        <v>12</v>
      </c>
      <c r="C498" s="62" t="s">
        <v>51</v>
      </c>
      <c r="D498" s="62" t="s">
        <v>627</v>
      </c>
      <c r="E498" s="88">
        <f t="shared" si="48"/>
        <v>3415049.3259558538</v>
      </c>
      <c r="F498" s="64"/>
      <c r="G498" s="64"/>
      <c r="H498" s="64">
        <v>3025139.6994356234</v>
      </c>
      <c r="I498" s="64"/>
      <c r="J498" s="64">
        <v>0</v>
      </c>
      <c r="K498" s="64"/>
      <c r="L498" s="64"/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/>
      <c r="S498" s="65"/>
      <c r="T498" s="66">
        <v>389909.62652023067</v>
      </c>
      <c r="U498" s="67"/>
    </row>
    <row r="499" spans="1:21" x14ac:dyDescent="0.25">
      <c r="A499" s="60">
        <f t="shared" si="49"/>
        <v>471</v>
      </c>
      <c r="B499" s="61">
        <f t="shared" si="50"/>
        <v>13</v>
      </c>
      <c r="C499" s="62" t="s">
        <v>51</v>
      </c>
      <c r="D499" s="62" t="s">
        <v>628</v>
      </c>
      <c r="E499" s="88">
        <f t="shared" si="48"/>
        <v>26824385.298744265</v>
      </c>
      <c r="F499" s="64">
        <v>14432823.302317059</v>
      </c>
      <c r="G499" s="64">
        <v>7108989.1508563198</v>
      </c>
      <c r="H499" s="64">
        <v>4341482.2764144</v>
      </c>
      <c r="I499" s="64">
        <v>0</v>
      </c>
      <c r="J499" s="64">
        <v>0</v>
      </c>
      <c r="K499" s="64">
        <v>0</v>
      </c>
      <c r="L499" s="64">
        <v>432862.10529120005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/>
      <c r="S499" s="65"/>
      <c r="T499" s="66">
        <v>508228.46386528754</v>
      </c>
      <c r="U499" s="67"/>
    </row>
    <row r="500" spans="1:21" x14ac:dyDescent="0.25">
      <c r="A500" s="60">
        <f t="shared" si="49"/>
        <v>472</v>
      </c>
      <c r="B500" s="61">
        <f t="shared" si="50"/>
        <v>14</v>
      </c>
      <c r="C500" s="62" t="s">
        <v>961</v>
      </c>
      <c r="D500" s="62" t="s">
        <v>928</v>
      </c>
      <c r="E500" s="63">
        <f t="shared" si="48"/>
        <v>35036855.456389122</v>
      </c>
      <c r="F500" s="64"/>
      <c r="G500" s="64"/>
      <c r="H500" s="64"/>
      <c r="I500" s="64"/>
      <c r="J500" s="64"/>
      <c r="K500" s="64"/>
      <c r="L500" s="64"/>
      <c r="M500" s="64"/>
      <c r="N500" s="64">
        <v>13204189.220300563</v>
      </c>
      <c r="O500" s="64"/>
      <c r="P500" s="64">
        <v>18418596.889079686</v>
      </c>
      <c r="Q500" s="64">
        <v>0</v>
      </c>
      <c r="R500" s="64">
        <v>2372174.5072000003</v>
      </c>
      <c r="S500" s="65">
        <v>350368.5545638912</v>
      </c>
      <c r="T500" s="66">
        <v>691526.28524498001</v>
      </c>
      <c r="U500" s="67"/>
    </row>
    <row r="501" spans="1:21" x14ac:dyDescent="0.25">
      <c r="A501" s="60">
        <f t="shared" si="49"/>
        <v>473</v>
      </c>
      <c r="B501" s="61">
        <f t="shared" si="50"/>
        <v>15</v>
      </c>
      <c r="C501" s="62" t="s">
        <v>961</v>
      </c>
      <c r="D501" s="62" t="s">
        <v>929</v>
      </c>
      <c r="E501" s="63">
        <f t="shared" si="48"/>
        <v>24956333.069404669</v>
      </c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>
        <v>21071613.243426438</v>
      </c>
      <c r="Q501" s="64">
        <v>0</v>
      </c>
      <c r="R501" s="64">
        <v>2692288.6746999999</v>
      </c>
      <c r="S501" s="65">
        <v>400835.67271109129</v>
      </c>
      <c r="T501" s="66">
        <v>791595.47856713797</v>
      </c>
      <c r="U501" s="67"/>
    </row>
    <row r="502" spans="1:21" x14ac:dyDescent="0.25">
      <c r="A502" s="60">
        <f t="shared" si="49"/>
        <v>474</v>
      </c>
      <c r="B502" s="61">
        <f t="shared" si="50"/>
        <v>16</v>
      </c>
      <c r="C502" s="62" t="s">
        <v>961</v>
      </c>
      <c r="D502" s="62" t="s">
        <v>930</v>
      </c>
      <c r="E502" s="63">
        <f t="shared" si="48"/>
        <v>21704097.500143245</v>
      </c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>
        <v>18301617.377269424</v>
      </c>
      <c r="Q502" s="64">
        <v>0</v>
      </c>
      <c r="R502" s="64">
        <v>2367423.2642999999</v>
      </c>
      <c r="S502" s="65">
        <v>348143.3067497728</v>
      </c>
      <c r="T502" s="66">
        <v>686913.55182404874</v>
      </c>
      <c r="U502" s="67"/>
    </row>
    <row r="503" spans="1:21" x14ac:dyDescent="0.25">
      <c r="A503" s="60">
        <f t="shared" si="49"/>
        <v>475</v>
      </c>
      <c r="B503" s="61">
        <f t="shared" si="50"/>
        <v>17</v>
      </c>
      <c r="C503" s="62" t="s">
        <v>961</v>
      </c>
      <c r="D503" s="62" t="s">
        <v>931</v>
      </c>
      <c r="E503" s="63">
        <f t="shared" si="48"/>
        <v>35536362.560655363</v>
      </c>
      <c r="F503" s="64"/>
      <c r="G503" s="64"/>
      <c r="H503" s="64"/>
      <c r="I503" s="64"/>
      <c r="J503" s="64"/>
      <c r="K503" s="64"/>
      <c r="L503" s="64"/>
      <c r="M503" s="64"/>
      <c r="N503" s="64">
        <v>13388581.508087739</v>
      </c>
      <c r="O503" s="64"/>
      <c r="P503" s="64">
        <v>18681183.810105268</v>
      </c>
      <c r="Q503" s="64">
        <v>0</v>
      </c>
      <c r="R503" s="64">
        <v>2409932.8016000004</v>
      </c>
      <c r="S503" s="65">
        <v>355363.62560655363</v>
      </c>
      <c r="T503" s="66">
        <v>701300.81525580445</v>
      </c>
      <c r="U503" s="67"/>
    </row>
    <row r="504" spans="1:21" x14ac:dyDescent="0.25">
      <c r="A504" s="60">
        <f t="shared" si="49"/>
        <v>476</v>
      </c>
      <c r="B504" s="61">
        <f t="shared" si="50"/>
        <v>18</v>
      </c>
      <c r="C504" s="62" t="s">
        <v>961</v>
      </c>
      <c r="D504" s="62" t="s">
        <v>932</v>
      </c>
      <c r="E504" s="63">
        <f t="shared" si="48"/>
        <v>34854704.369495042</v>
      </c>
      <c r="F504" s="64"/>
      <c r="G504" s="64"/>
      <c r="H504" s="64"/>
      <c r="I504" s="64"/>
      <c r="J504" s="64"/>
      <c r="K504" s="64"/>
      <c r="L504" s="64"/>
      <c r="M504" s="64"/>
      <c r="N504" s="64">
        <v>13126738.266784133</v>
      </c>
      <c r="O504" s="64"/>
      <c r="P504" s="64">
        <v>18322841.508104198</v>
      </c>
      <c r="Q504" s="64">
        <v>0</v>
      </c>
      <c r="R504" s="64">
        <v>2368838.9373999997</v>
      </c>
      <c r="S504" s="65">
        <v>348547.04369495041</v>
      </c>
      <c r="T504" s="66">
        <v>687738.613511762</v>
      </c>
      <c r="U504" s="67"/>
    </row>
    <row r="505" spans="1:21" x14ac:dyDescent="0.25">
      <c r="A505" s="60">
        <f t="shared" si="49"/>
        <v>477</v>
      </c>
      <c r="B505" s="61">
        <f t="shared" si="50"/>
        <v>19</v>
      </c>
      <c r="C505" s="62" t="s">
        <v>961</v>
      </c>
      <c r="D505" s="62" t="s">
        <v>933</v>
      </c>
      <c r="E505" s="63">
        <f t="shared" si="48"/>
        <v>22519426.852389794</v>
      </c>
      <c r="F505" s="64"/>
      <c r="G505" s="64"/>
      <c r="H505" s="64"/>
      <c r="I505" s="64"/>
      <c r="J505" s="64"/>
      <c r="K505" s="64"/>
      <c r="L505" s="64"/>
      <c r="M505" s="64"/>
      <c r="N505" s="64">
        <v>8451044.9299999997</v>
      </c>
      <c r="O505" s="64"/>
      <c r="P505" s="64">
        <v>11807033.341828575</v>
      </c>
      <c r="Q505" s="64">
        <v>0</v>
      </c>
      <c r="R505" s="64">
        <v>1595045.6157</v>
      </c>
      <c r="S505" s="65">
        <v>224599.80152542717</v>
      </c>
      <c r="T505" s="66">
        <v>441703.16333579004</v>
      </c>
      <c r="U505" s="67"/>
    </row>
    <row r="506" spans="1:21" x14ac:dyDescent="0.25">
      <c r="A506" s="60">
        <f t="shared" si="49"/>
        <v>478</v>
      </c>
      <c r="B506" s="61">
        <f t="shared" si="50"/>
        <v>20</v>
      </c>
      <c r="C506" s="62" t="s">
        <v>82</v>
      </c>
      <c r="D506" s="62" t="s">
        <v>996</v>
      </c>
      <c r="E506" s="88">
        <f t="shared" si="48"/>
        <v>12074742.508927792</v>
      </c>
      <c r="F506" s="64"/>
      <c r="G506" s="64"/>
      <c r="H506" s="64">
        <v>3532642.5089277923</v>
      </c>
      <c r="I506" s="64"/>
      <c r="J506" s="64">
        <v>0</v>
      </c>
      <c r="K506" s="64"/>
      <c r="L506" s="64"/>
      <c r="M506" s="64">
        <v>8024927.0976</v>
      </c>
      <c r="N506" s="64"/>
      <c r="O506" s="64">
        <v>0</v>
      </c>
      <c r="P506" s="64">
        <v>0</v>
      </c>
      <c r="Q506" s="64">
        <v>0</v>
      </c>
      <c r="R506" s="64">
        <v>256263</v>
      </c>
      <c r="S506" s="65">
        <v>85421</v>
      </c>
      <c r="T506" s="66">
        <v>175488.90240000002</v>
      </c>
      <c r="U506" s="67"/>
    </row>
    <row r="507" spans="1:21" x14ac:dyDescent="0.25">
      <c r="A507" s="60">
        <f t="shared" si="49"/>
        <v>479</v>
      </c>
      <c r="B507" s="61">
        <f t="shared" si="50"/>
        <v>21</v>
      </c>
      <c r="C507" s="62" t="s">
        <v>82</v>
      </c>
      <c r="D507" s="62" t="s">
        <v>1105</v>
      </c>
      <c r="E507" s="63">
        <f>SUBTOTAL(9,F507:T507)</f>
        <v>2774182.8301903871</v>
      </c>
      <c r="F507" s="64">
        <v>0</v>
      </c>
      <c r="G507" s="64">
        <v>0</v>
      </c>
      <c r="H507" s="64">
        <v>2714815.3176243128</v>
      </c>
      <c r="I507" s="64">
        <v>0</v>
      </c>
      <c r="J507" s="64">
        <v>0</v>
      </c>
      <c r="K507" s="64"/>
      <c r="L507" s="64"/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/>
      <c r="S507" s="65"/>
      <c r="T507" s="66">
        <v>59367.512566074292</v>
      </c>
      <c r="U507" s="67"/>
    </row>
    <row r="508" spans="1:21" x14ac:dyDescent="0.25">
      <c r="A508" s="60">
        <f t="shared" si="49"/>
        <v>480</v>
      </c>
      <c r="B508" s="61">
        <f t="shared" si="50"/>
        <v>22</v>
      </c>
      <c r="C508" s="62" t="s">
        <v>82</v>
      </c>
      <c r="D508" s="62" t="s">
        <v>636</v>
      </c>
      <c r="E508" s="88">
        <f t="shared" si="48"/>
        <v>30154413.509085678</v>
      </c>
      <c r="F508" s="64">
        <v>7654861.8469105689</v>
      </c>
      <c r="G508" s="64">
        <v>0</v>
      </c>
      <c r="H508" s="64">
        <v>1899550.3606906722</v>
      </c>
      <c r="I508" s="64">
        <v>0</v>
      </c>
      <c r="J508" s="64">
        <v>0</v>
      </c>
      <c r="K508" s="64"/>
      <c r="L508" s="64">
        <v>341658.25265146937</v>
      </c>
      <c r="M508" s="64">
        <v>0</v>
      </c>
      <c r="N508" s="64"/>
      <c r="O508" s="64">
        <v>0</v>
      </c>
      <c r="P508" s="64">
        <v>19653688.977457315</v>
      </c>
      <c r="Q508" s="64">
        <v>0</v>
      </c>
      <c r="R508" s="64"/>
      <c r="S508" s="65"/>
      <c r="T508" s="66">
        <v>604654.07137565326</v>
      </c>
      <c r="U508" s="67"/>
    </row>
    <row r="509" spans="1:21" x14ac:dyDescent="0.25">
      <c r="A509" s="60">
        <f t="shared" si="49"/>
        <v>481</v>
      </c>
      <c r="B509" s="61">
        <f t="shared" si="50"/>
        <v>23</v>
      </c>
      <c r="C509" s="62" t="s">
        <v>82</v>
      </c>
      <c r="D509" s="62" t="s">
        <v>637</v>
      </c>
      <c r="E509" s="63">
        <f>SUBTOTAL(9,F509:T509)</f>
        <v>2933317.4926648322</v>
      </c>
      <c r="F509" s="64">
        <v>0</v>
      </c>
      <c r="G509" s="64">
        <v>0</v>
      </c>
      <c r="H509" s="64">
        <v>2870544.4983218047</v>
      </c>
      <c r="I509" s="64">
        <v>0</v>
      </c>
      <c r="J509" s="64">
        <v>0</v>
      </c>
      <c r="K509" s="64"/>
      <c r="L509" s="64"/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/>
      <c r="S509" s="65"/>
      <c r="T509" s="66">
        <v>62772.994343027407</v>
      </c>
      <c r="U509" s="67"/>
    </row>
    <row r="510" spans="1:21" x14ac:dyDescent="0.25">
      <c r="A510" s="60">
        <f t="shared" si="49"/>
        <v>482</v>
      </c>
      <c r="B510" s="61">
        <f t="shared" si="50"/>
        <v>24</v>
      </c>
      <c r="C510" s="62" t="s">
        <v>82</v>
      </c>
      <c r="D510" s="62" t="s">
        <v>1106</v>
      </c>
      <c r="E510" s="88">
        <f t="shared" si="48"/>
        <v>15805176.473731067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/>
      <c r="L510" s="64"/>
      <c r="M510" s="64">
        <v>0</v>
      </c>
      <c r="N510" s="64">
        <v>15466945.697193222</v>
      </c>
      <c r="O510" s="64">
        <v>0</v>
      </c>
      <c r="P510" s="64"/>
      <c r="Q510" s="64">
        <v>0</v>
      </c>
      <c r="R510" s="64"/>
      <c r="S510" s="65"/>
      <c r="T510" s="66">
        <v>338230.77653784485</v>
      </c>
      <c r="U510" s="67"/>
    </row>
    <row r="511" spans="1:21" x14ac:dyDescent="0.25">
      <c r="A511" s="60">
        <f t="shared" si="49"/>
        <v>483</v>
      </c>
      <c r="B511" s="61">
        <f t="shared" si="50"/>
        <v>25</v>
      </c>
      <c r="C511" s="62" t="s">
        <v>82</v>
      </c>
      <c r="D511" s="62" t="s">
        <v>1107</v>
      </c>
      <c r="E511" s="63">
        <f>SUBTOTAL(9,F511:T511)</f>
        <v>3942804.3934862674</v>
      </c>
      <c r="F511" s="64"/>
      <c r="G511" s="64"/>
      <c r="H511" s="64">
        <v>3492077.6109207738</v>
      </c>
      <c r="I511" s="64"/>
      <c r="J511" s="64">
        <v>0</v>
      </c>
      <c r="K511" s="64"/>
      <c r="L511" s="64"/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/>
      <c r="S511" s="65"/>
      <c r="T511" s="66">
        <v>450726.78256549343</v>
      </c>
      <c r="U511" s="67"/>
    </row>
    <row r="512" spans="1:21" x14ac:dyDescent="0.25">
      <c r="A512" s="60">
        <f t="shared" si="49"/>
        <v>484</v>
      </c>
      <c r="B512" s="61">
        <f t="shared" si="50"/>
        <v>26</v>
      </c>
      <c r="C512" s="62" t="s">
        <v>82</v>
      </c>
      <c r="D512" s="62" t="s">
        <v>649</v>
      </c>
      <c r="E512" s="88">
        <f t="shared" si="48"/>
        <v>4271050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/>
      <c r="L512" s="64">
        <v>0</v>
      </c>
      <c r="M512" s="64">
        <v>4012463.5488</v>
      </c>
      <c r="N512" s="64"/>
      <c r="O512" s="64">
        <v>0</v>
      </c>
      <c r="P512" s="64">
        <v>0</v>
      </c>
      <c r="Q512" s="64">
        <v>0</v>
      </c>
      <c r="R512" s="64">
        <v>128131.5</v>
      </c>
      <c r="S512" s="65">
        <v>42710.5</v>
      </c>
      <c r="T512" s="66">
        <v>87744.45120000001</v>
      </c>
      <c r="U512" s="67"/>
    </row>
    <row r="513" spans="1:21" x14ac:dyDescent="0.25">
      <c r="A513" s="60">
        <f t="shared" si="49"/>
        <v>485</v>
      </c>
      <c r="B513" s="61">
        <f t="shared" si="50"/>
        <v>27</v>
      </c>
      <c r="C513" s="62" t="s">
        <v>82</v>
      </c>
      <c r="D513" s="62" t="s">
        <v>650</v>
      </c>
      <c r="E513" s="88">
        <f t="shared" si="48"/>
        <v>4271050</v>
      </c>
      <c r="F513" s="64"/>
      <c r="G513" s="64"/>
      <c r="H513" s="64"/>
      <c r="I513" s="64"/>
      <c r="J513" s="64"/>
      <c r="K513" s="64"/>
      <c r="L513" s="64"/>
      <c r="M513" s="64">
        <v>4012463.5488</v>
      </c>
      <c r="N513" s="64"/>
      <c r="O513" s="64"/>
      <c r="P513" s="64"/>
      <c r="Q513" s="64"/>
      <c r="R513" s="64">
        <v>128131.5</v>
      </c>
      <c r="S513" s="65">
        <v>42710.5</v>
      </c>
      <c r="T513" s="66">
        <v>87744.45120000001</v>
      </c>
      <c r="U513" s="67"/>
    </row>
    <row r="514" spans="1:21" x14ac:dyDescent="0.25">
      <c r="A514" s="60">
        <f t="shared" si="49"/>
        <v>486</v>
      </c>
      <c r="B514" s="61">
        <f t="shared" si="50"/>
        <v>28</v>
      </c>
      <c r="C514" s="62" t="s">
        <v>82</v>
      </c>
      <c r="D514" s="62" t="s">
        <v>1108</v>
      </c>
      <c r="E514" s="88">
        <f t="shared" si="48"/>
        <v>8542100</v>
      </c>
      <c r="F514" s="64"/>
      <c r="G514" s="64"/>
      <c r="H514" s="64"/>
      <c r="I514" s="64"/>
      <c r="J514" s="64"/>
      <c r="K514" s="64"/>
      <c r="L514" s="64"/>
      <c r="M514" s="64">
        <v>8024927.0976</v>
      </c>
      <c r="N514" s="64"/>
      <c r="O514" s="64"/>
      <c r="P514" s="64"/>
      <c r="Q514" s="64"/>
      <c r="R514" s="64">
        <v>256263</v>
      </c>
      <c r="S514" s="65">
        <v>85421</v>
      </c>
      <c r="T514" s="66">
        <v>175488.90240000002</v>
      </c>
      <c r="U514" s="67"/>
    </row>
    <row r="515" spans="1:21" x14ac:dyDescent="0.25">
      <c r="A515" s="60">
        <f t="shared" si="49"/>
        <v>487</v>
      </c>
      <c r="B515" s="61">
        <f t="shared" si="50"/>
        <v>29</v>
      </c>
      <c r="C515" s="62" t="s">
        <v>82</v>
      </c>
      <c r="D515" s="62" t="s">
        <v>1109</v>
      </c>
      <c r="E515" s="88">
        <f t="shared" si="48"/>
        <v>4271050</v>
      </c>
      <c r="F515" s="64"/>
      <c r="G515" s="64"/>
      <c r="H515" s="64"/>
      <c r="I515" s="64"/>
      <c r="J515" s="64"/>
      <c r="K515" s="64"/>
      <c r="L515" s="64"/>
      <c r="M515" s="64">
        <v>4012463.5488</v>
      </c>
      <c r="N515" s="64"/>
      <c r="O515" s="64"/>
      <c r="P515" s="64"/>
      <c r="Q515" s="64"/>
      <c r="R515" s="64">
        <v>128131.5</v>
      </c>
      <c r="S515" s="65">
        <v>42710.5</v>
      </c>
      <c r="T515" s="66">
        <v>87744.45120000001</v>
      </c>
      <c r="U515" s="67"/>
    </row>
    <row r="516" spans="1:21" x14ac:dyDescent="0.25">
      <c r="A516" s="60">
        <f t="shared" si="49"/>
        <v>488</v>
      </c>
      <c r="B516" s="61">
        <f t="shared" si="50"/>
        <v>30</v>
      </c>
      <c r="C516" s="62" t="s">
        <v>82</v>
      </c>
      <c r="D516" s="62" t="s">
        <v>998</v>
      </c>
      <c r="E516" s="63">
        <f t="shared" ref="E516" si="52">SUBTOTAL(9,F516:T516)</f>
        <v>6651991.1786065921</v>
      </c>
      <c r="F516" s="64"/>
      <c r="G516" s="64"/>
      <c r="H516" s="64">
        <v>6509638.5673844106</v>
      </c>
      <c r="I516" s="64"/>
      <c r="J516" s="64"/>
      <c r="K516" s="64"/>
      <c r="L516" s="64"/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/>
      <c r="S516" s="65"/>
      <c r="T516" s="66">
        <v>142352.61122218109</v>
      </c>
      <c r="U516" s="67"/>
    </row>
    <row r="517" spans="1:21" x14ac:dyDescent="0.25">
      <c r="A517" s="60">
        <f t="shared" si="49"/>
        <v>489</v>
      </c>
      <c r="B517" s="61">
        <f t="shared" si="50"/>
        <v>31</v>
      </c>
      <c r="C517" s="62" t="s">
        <v>82</v>
      </c>
      <c r="D517" s="62" t="s">
        <v>651</v>
      </c>
      <c r="E517" s="88">
        <f t="shared" si="48"/>
        <v>12813150</v>
      </c>
      <c r="F517" s="64"/>
      <c r="G517" s="64"/>
      <c r="H517" s="64"/>
      <c r="I517" s="64"/>
      <c r="J517" s="64"/>
      <c r="K517" s="64"/>
      <c r="L517" s="64"/>
      <c r="M517" s="64">
        <v>12037390.646400001</v>
      </c>
      <c r="N517" s="64"/>
      <c r="O517" s="64"/>
      <c r="P517" s="64"/>
      <c r="Q517" s="64"/>
      <c r="R517" s="64">
        <v>384394.5</v>
      </c>
      <c r="S517" s="65">
        <v>128131.5</v>
      </c>
      <c r="T517" s="66">
        <v>263233.35360000003</v>
      </c>
      <c r="U517" s="67"/>
    </row>
    <row r="518" spans="1:21" x14ac:dyDescent="0.25">
      <c r="A518" s="60">
        <f t="shared" si="49"/>
        <v>490</v>
      </c>
      <c r="B518" s="61">
        <f t="shared" si="50"/>
        <v>32</v>
      </c>
      <c r="C518" s="62" t="s">
        <v>82</v>
      </c>
      <c r="D518" s="62" t="s">
        <v>630</v>
      </c>
      <c r="E518" s="63">
        <f>SUBTOTAL(9,F518:T518)</f>
        <v>6643105.8305029189</v>
      </c>
      <c r="F518" s="64"/>
      <c r="G518" s="64"/>
      <c r="H518" s="64">
        <v>6582856.3200000003</v>
      </c>
      <c r="I518" s="64"/>
      <c r="J518" s="64"/>
      <c r="K518" s="64"/>
      <c r="L518" s="64"/>
      <c r="M518" s="64">
        <v>0</v>
      </c>
      <c r="N518" s="64">
        <v>0</v>
      </c>
      <c r="O518" s="64"/>
      <c r="P518" s="64">
        <v>0</v>
      </c>
      <c r="Q518" s="64">
        <v>0</v>
      </c>
      <c r="R518" s="64"/>
      <c r="S518" s="65"/>
      <c r="T518" s="66">
        <v>60249.510502918965</v>
      </c>
      <c r="U518" s="67"/>
    </row>
    <row r="519" spans="1:21" x14ac:dyDescent="0.25">
      <c r="A519" s="60">
        <f t="shared" si="49"/>
        <v>491</v>
      </c>
      <c r="B519" s="61">
        <f t="shared" si="50"/>
        <v>33</v>
      </c>
      <c r="C519" s="62" t="s">
        <v>82</v>
      </c>
      <c r="D519" s="62" t="s">
        <v>1110</v>
      </c>
      <c r="E519" s="88">
        <f t="shared" si="48"/>
        <v>4271050</v>
      </c>
      <c r="F519" s="64"/>
      <c r="G519" s="64"/>
      <c r="H519" s="64"/>
      <c r="I519" s="64"/>
      <c r="J519" s="64"/>
      <c r="K519" s="64"/>
      <c r="L519" s="64"/>
      <c r="M519" s="64">
        <v>4012463.5488</v>
      </c>
      <c r="N519" s="64"/>
      <c r="O519" s="64"/>
      <c r="P519" s="64"/>
      <c r="Q519" s="64"/>
      <c r="R519" s="64">
        <v>128131.5</v>
      </c>
      <c r="S519" s="65">
        <v>42710.5</v>
      </c>
      <c r="T519" s="66">
        <v>87744.45120000001</v>
      </c>
      <c r="U519" s="67"/>
    </row>
    <row r="520" spans="1:21" x14ac:dyDescent="0.25">
      <c r="A520" s="60">
        <f t="shared" si="49"/>
        <v>492</v>
      </c>
      <c r="B520" s="61">
        <f t="shared" si="50"/>
        <v>34</v>
      </c>
      <c r="C520" s="62" t="s">
        <v>82</v>
      </c>
      <c r="D520" s="62" t="s">
        <v>1111</v>
      </c>
      <c r="E520" s="63">
        <f>SUBTOTAL(9,F520:T520)</f>
        <v>5085565.8713689661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/>
      <c r="L520" s="64"/>
      <c r="M520" s="64">
        <v>0</v>
      </c>
      <c r="N520" s="64">
        <v>0</v>
      </c>
      <c r="O520" s="64">
        <v>0</v>
      </c>
      <c r="P520" s="64">
        <v>4644971.0999999996</v>
      </c>
      <c r="Q520" s="64">
        <v>0</v>
      </c>
      <c r="R520" s="71"/>
      <c r="S520" s="71"/>
      <c r="T520" s="66">
        <v>440594.77136896638</v>
      </c>
      <c r="U520" s="67"/>
    </row>
    <row r="521" spans="1:21" x14ac:dyDescent="0.25">
      <c r="A521" s="60">
        <f t="shared" si="49"/>
        <v>493</v>
      </c>
      <c r="B521" s="61">
        <f t="shared" si="50"/>
        <v>35</v>
      </c>
      <c r="C521" s="62" t="s">
        <v>82</v>
      </c>
      <c r="D521" s="62" t="s">
        <v>1112</v>
      </c>
      <c r="E521" s="88">
        <f t="shared" si="48"/>
        <v>21644856.846778177</v>
      </c>
      <c r="F521" s="64">
        <v>16085062.249059705</v>
      </c>
      <c r="G521" s="64">
        <v>0</v>
      </c>
      <c r="H521" s="64">
        <v>0</v>
      </c>
      <c r="I521" s="64">
        <v>4577070.5572085762</v>
      </c>
      <c r="J521" s="64">
        <v>0</v>
      </c>
      <c r="K521" s="64"/>
      <c r="L521" s="64">
        <v>519524.10398884036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/>
      <c r="S521" s="65"/>
      <c r="T521" s="66">
        <v>463199.93652105302</v>
      </c>
      <c r="U521" s="67"/>
    </row>
    <row r="522" spans="1:21" x14ac:dyDescent="0.25">
      <c r="A522" s="60">
        <f t="shared" si="49"/>
        <v>494</v>
      </c>
      <c r="B522" s="61">
        <f t="shared" si="50"/>
        <v>36</v>
      </c>
      <c r="C522" s="62" t="s">
        <v>82</v>
      </c>
      <c r="D522" s="62" t="s">
        <v>652</v>
      </c>
      <c r="E522" s="88">
        <f t="shared" si="48"/>
        <v>21190509.697999999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/>
      <c r="L522" s="64"/>
      <c r="M522" s="64">
        <v>0</v>
      </c>
      <c r="N522" s="64">
        <v>0</v>
      </c>
      <c r="O522" s="64">
        <v>0</v>
      </c>
      <c r="P522" s="64">
        <v>20737032.790462799</v>
      </c>
      <c r="Q522" s="64">
        <v>0</v>
      </c>
      <c r="R522" s="71"/>
      <c r="S522" s="64"/>
      <c r="T522" s="66">
        <v>453476.90753720002</v>
      </c>
      <c r="U522" s="67"/>
    </row>
    <row r="523" spans="1:21" x14ac:dyDescent="0.25">
      <c r="A523" s="60">
        <f t="shared" si="49"/>
        <v>495</v>
      </c>
      <c r="B523" s="61">
        <f t="shared" si="50"/>
        <v>37</v>
      </c>
      <c r="C523" s="62" t="s">
        <v>82</v>
      </c>
      <c r="D523" s="62" t="s">
        <v>638</v>
      </c>
      <c r="E523" s="63">
        <f>SUBTOTAL(9,F523:T523)</f>
        <v>3925263.292793856</v>
      </c>
      <c r="F523" s="64">
        <v>0</v>
      </c>
      <c r="G523" s="64">
        <v>0</v>
      </c>
      <c r="H523" s="64">
        <v>3841262.6583280675</v>
      </c>
      <c r="I523" s="64">
        <v>0</v>
      </c>
      <c r="J523" s="64">
        <v>0</v>
      </c>
      <c r="K523" s="64"/>
      <c r="L523" s="64"/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/>
      <c r="S523" s="65"/>
      <c r="T523" s="66">
        <v>84000.634465788535</v>
      </c>
      <c r="U523" s="67"/>
    </row>
    <row r="524" spans="1:21" x14ac:dyDescent="0.25">
      <c r="A524" s="60">
        <f t="shared" si="49"/>
        <v>496</v>
      </c>
      <c r="B524" s="61">
        <f t="shared" si="50"/>
        <v>38</v>
      </c>
      <c r="C524" s="62" t="s">
        <v>82</v>
      </c>
      <c r="D524" s="62" t="s">
        <v>639</v>
      </c>
      <c r="E524" s="63">
        <f>SUBTOTAL(9,F524:T524)</f>
        <v>36137184.968160048</v>
      </c>
      <c r="F524" s="64">
        <v>26584018.179886967</v>
      </c>
      <c r="G524" s="64">
        <v>0</v>
      </c>
      <c r="H524" s="64">
        <v>7688281.3864862276</v>
      </c>
      <c r="I524" s="64">
        <v>0</v>
      </c>
      <c r="J524" s="64">
        <v>0</v>
      </c>
      <c r="K524" s="64"/>
      <c r="L524" s="64">
        <v>1109290.6412489424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/>
      <c r="S524" s="65"/>
      <c r="T524" s="66">
        <v>755594.76053791493</v>
      </c>
      <c r="U524" s="67"/>
    </row>
    <row r="525" spans="1:21" x14ac:dyDescent="0.25">
      <c r="A525" s="60">
        <f t="shared" si="49"/>
        <v>497</v>
      </c>
      <c r="B525" s="61">
        <f t="shared" si="50"/>
        <v>39</v>
      </c>
      <c r="C525" s="62" t="s">
        <v>82</v>
      </c>
      <c r="D525" s="62" t="s">
        <v>671</v>
      </c>
      <c r="E525" s="88">
        <f t="shared" si="48"/>
        <v>12813150</v>
      </c>
      <c r="F525" s="64"/>
      <c r="G525" s="64"/>
      <c r="H525" s="64"/>
      <c r="I525" s="64"/>
      <c r="J525" s="64"/>
      <c r="K525" s="64"/>
      <c r="L525" s="64"/>
      <c r="M525" s="64">
        <v>12037390.646400001</v>
      </c>
      <c r="N525" s="64"/>
      <c r="O525" s="64"/>
      <c r="P525" s="64"/>
      <c r="Q525" s="64"/>
      <c r="R525" s="64">
        <v>384394.5</v>
      </c>
      <c r="S525" s="65">
        <v>128131.5</v>
      </c>
      <c r="T525" s="66">
        <v>263233.35360000003</v>
      </c>
      <c r="U525" s="67"/>
    </row>
    <row r="526" spans="1:21" x14ac:dyDescent="0.25">
      <c r="A526" s="60">
        <f t="shared" si="49"/>
        <v>498</v>
      </c>
      <c r="B526" s="61">
        <f t="shared" si="50"/>
        <v>40</v>
      </c>
      <c r="C526" s="62" t="s">
        <v>82</v>
      </c>
      <c r="D526" s="62" t="s">
        <v>631</v>
      </c>
      <c r="E526" s="88">
        <f t="shared" si="48"/>
        <v>3065056.7996259299</v>
      </c>
      <c r="F526" s="64"/>
      <c r="G526" s="64"/>
      <c r="H526" s="64">
        <v>2965260.2806766843</v>
      </c>
      <c r="I526" s="64">
        <v>0</v>
      </c>
      <c r="J526" s="64"/>
      <c r="K526" s="64"/>
      <c r="L526" s="64"/>
      <c r="M526" s="64"/>
      <c r="N526" s="64"/>
      <c r="O526" s="64">
        <v>0</v>
      </c>
      <c r="P526" s="64">
        <v>0</v>
      </c>
      <c r="Q526" s="64">
        <v>0</v>
      </c>
      <c r="R526" s="64"/>
      <c r="S526" s="65"/>
      <c r="T526" s="66">
        <v>99796.518949245714</v>
      </c>
      <c r="U526" s="67"/>
    </row>
    <row r="527" spans="1:21" x14ac:dyDescent="0.25">
      <c r="A527" s="60">
        <f t="shared" si="49"/>
        <v>499</v>
      </c>
      <c r="B527" s="61">
        <f t="shared" si="50"/>
        <v>41</v>
      </c>
      <c r="C527" s="62" t="s">
        <v>82</v>
      </c>
      <c r="D527" s="62" t="s">
        <v>653</v>
      </c>
      <c r="E527" s="88">
        <f t="shared" si="48"/>
        <v>7596756.2910677912</v>
      </c>
      <c r="F527" s="64">
        <v>7116553.6781660952</v>
      </c>
      <c r="G527" s="64">
        <v>0</v>
      </c>
      <c r="H527" s="64">
        <v>0</v>
      </c>
      <c r="I527" s="64">
        <v>0</v>
      </c>
      <c r="J527" s="64">
        <v>0</v>
      </c>
      <c r="K527" s="64"/>
      <c r="L527" s="64">
        <v>317632.02827284439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/>
      <c r="S527" s="65"/>
      <c r="T527" s="66">
        <v>162570.58462885072</v>
      </c>
      <c r="U527" s="67"/>
    </row>
    <row r="528" spans="1:21" x14ac:dyDescent="0.25">
      <c r="A528" s="60">
        <f t="shared" si="49"/>
        <v>500</v>
      </c>
      <c r="B528" s="61">
        <f t="shared" si="50"/>
        <v>42</v>
      </c>
      <c r="C528" s="62" t="s">
        <v>82</v>
      </c>
      <c r="D528" s="62" t="s">
        <v>646</v>
      </c>
      <c r="E528" s="63">
        <f>SUBTOTAL(9,F528:T528)</f>
        <v>2085412.7608436176</v>
      </c>
      <c r="F528" s="64"/>
      <c r="G528" s="64">
        <v>0</v>
      </c>
      <c r="H528" s="64">
        <v>1897284.4391391145</v>
      </c>
      <c r="I528" s="64">
        <v>0</v>
      </c>
      <c r="J528" s="64">
        <v>0</v>
      </c>
      <c r="K528" s="64"/>
      <c r="L528" s="64"/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/>
      <c r="S528" s="65"/>
      <c r="T528" s="66">
        <v>188128.32170450315</v>
      </c>
      <c r="U528" s="67"/>
    </row>
    <row r="529" spans="1:21" x14ac:dyDescent="0.25">
      <c r="A529" s="60">
        <f t="shared" si="49"/>
        <v>501</v>
      </c>
      <c r="B529" s="61">
        <f t="shared" si="50"/>
        <v>43</v>
      </c>
      <c r="C529" s="62" t="s">
        <v>82</v>
      </c>
      <c r="D529" s="62" t="s">
        <v>1113</v>
      </c>
      <c r="E529" s="88">
        <f t="shared" si="48"/>
        <v>34449317.113817371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/>
      <c r="L529" s="64"/>
      <c r="M529" s="64">
        <v>0</v>
      </c>
      <c r="N529" s="64">
        <v>0</v>
      </c>
      <c r="O529" s="64">
        <v>9755981.0283780545</v>
      </c>
      <c r="P529" s="64">
        <v>23956120.699203629</v>
      </c>
      <c r="Q529" s="64">
        <v>0</v>
      </c>
      <c r="R529" s="64"/>
      <c r="S529" s="65"/>
      <c r="T529" s="66">
        <v>737215.38623569196</v>
      </c>
      <c r="U529" s="67"/>
    </row>
    <row r="530" spans="1:21" x14ac:dyDescent="0.25">
      <c r="A530" s="60">
        <f t="shared" si="49"/>
        <v>502</v>
      </c>
      <c r="B530" s="61">
        <f t="shared" si="50"/>
        <v>44</v>
      </c>
      <c r="C530" s="62" t="s">
        <v>82</v>
      </c>
      <c r="D530" s="62" t="s">
        <v>1114</v>
      </c>
      <c r="E530" s="88">
        <f t="shared" si="48"/>
        <v>17956800</v>
      </c>
      <c r="F530" s="64"/>
      <c r="G530" s="64"/>
      <c r="H530" s="64"/>
      <c r="I530" s="64"/>
      <c r="J530" s="64"/>
      <c r="K530" s="64"/>
      <c r="L530" s="64"/>
      <c r="M530" s="64">
        <f>5*3591360</f>
        <v>17956800</v>
      </c>
      <c r="N530" s="64"/>
      <c r="O530" s="64"/>
      <c r="P530" s="64"/>
      <c r="Q530" s="64"/>
      <c r="R530" s="64"/>
      <c r="S530" s="65"/>
      <c r="T530" s="66"/>
      <c r="U530" s="67"/>
    </row>
    <row r="531" spans="1:21" x14ac:dyDescent="0.25">
      <c r="A531" s="60">
        <f t="shared" si="49"/>
        <v>503</v>
      </c>
      <c r="B531" s="61">
        <f t="shared" si="50"/>
        <v>45</v>
      </c>
      <c r="C531" s="62" t="s">
        <v>82</v>
      </c>
      <c r="D531" s="62" t="s">
        <v>1115</v>
      </c>
      <c r="E531" s="88">
        <f t="shared" si="48"/>
        <v>17956800</v>
      </c>
      <c r="F531" s="64"/>
      <c r="G531" s="64"/>
      <c r="H531" s="64"/>
      <c r="I531" s="64"/>
      <c r="J531" s="64"/>
      <c r="K531" s="64"/>
      <c r="L531" s="64"/>
      <c r="M531" s="64">
        <f>5*3591360</f>
        <v>17956800</v>
      </c>
      <c r="N531" s="64"/>
      <c r="O531" s="64"/>
      <c r="P531" s="64"/>
      <c r="Q531" s="64"/>
      <c r="R531" s="64"/>
      <c r="S531" s="65"/>
      <c r="T531" s="66"/>
      <c r="U531" s="67"/>
    </row>
    <row r="532" spans="1:21" x14ac:dyDescent="0.25">
      <c r="A532" s="60">
        <f t="shared" si="49"/>
        <v>504</v>
      </c>
      <c r="B532" s="61">
        <f t="shared" si="50"/>
        <v>46</v>
      </c>
      <c r="C532" s="62" t="s">
        <v>82</v>
      </c>
      <c r="D532" s="62" t="s">
        <v>632</v>
      </c>
      <c r="E532" s="63">
        <f>SUBTOTAL(9,F532:T532)</f>
        <v>5964947.0233067526</v>
      </c>
      <c r="F532" s="64"/>
      <c r="G532" s="64"/>
      <c r="H532" s="64">
        <v>5837297.1570079876</v>
      </c>
      <c r="I532" s="64"/>
      <c r="J532" s="64"/>
      <c r="K532" s="64"/>
      <c r="L532" s="64"/>
      <c r="M532" s="64"/>
      <c r="N532" s="64"/>
      <c r="O532" s="64"/>
      <c r="P532" s="64">
        <v>0</v>
      </c>
      <c r="Q532" s="64">
        <v>0</v>
      </c>
      <c r="R532" s="64"/>
      <c r="S532" s="65"/>
      <c r="T532" s="66">
        <v>127649.86629876452</v>
      </c>
      <c r="U532" s="67"/>
    </row>
    <row r="533" spans="1:21" x14ac:dyDescent="0.25">
      <c r="A533" s="60">
        <f t="shared" si="49"/>
        <v>505</v>
      </c>
      <c r="B533" s="61">
        <f t="shared" si="50"/>
        <v>47</v>
      </c>
      <c r="C533" s="62" t="s">
        <v>82</v>
      </c>
      <c r="D533" s="62" t="s">
        <v>1001</v>
      </c>
      <c r="E533" s="63">
        <f>SUBTOTAL(9,F533:T533)</f>
        <v>4916517.9743421944</v>
      </c>
      <c r="F533" s="64"/>
      <c r="G533" s="64"/>
      <c r="H533" s="64"/>
      <c r="I533" s="64"/>
      <c r="J533" s="64">
        <v>0</v>
      </c>
      <c r="K533" s="64"/>
      <c r="L533" s="64"/>
      <c r="M533" s="64">
        <v>0</v>
      </c>
      <c r="N533" s="64">
        <v>0</v>
      </c>
      <c r="O533" s="64">
        <v>3968655.74</v>
      </c>
      <c r="P533" s="64">
        <v>0</v>
      </c>
      <c r="Q533" s="64">
        <v>0</v>
      </c>
      <c r="R533" s="64"/>
      <c r="S533" s="65"/>
      <c r="T533" s="66">
        <v>947862.23434219416</v>
      </c>
      <c r="U533" s="67"/>
    </row>
    <row r="534" spans="1:21" x14ac:dyDescent="0.25">
      <c r="A534" s="60">
        <f t="shared" si="49"/>
        <v>506</v>
      </c>
      <c r="B534" s="61">
        <f t="shared" si="50"/>
        <v>48</v>
      </c>
      <c r="C534" s="62" t="s">
        <v>82</v>
      </c>
      <c r="D534" s="62" t="s">
        <v>1004</v>
      </c>
      <c r="E534" s="63">
        <f>SUBTOTAL(9,F534:T534)</f>
        <v>2204474.695667712</v>
      </c>
      <c r="F534" s="64"/>
      <c r="G534" s="64"/>
      <c r="H534" s="64">
        <v>2157298.9371804232</v>
      </c>
      <c r="I534" s="64"/>
      <c r="J534" s="64">
        <v>0</v>
      </c>
      <c r="K534" s="64"/>
      <c r="L534" s="64"/>
      <c r="M534" s="64">
        <v>0</v>
      </c>
      <c r="N534" s="64">
        <v>0</v>
      </c>
      <c r="O534" s="64"/>
      <c r="P534" s="64">
        <v>0</v>
      </c>
      <c r="Q534" s="64">
        <v>0</v>
      </c>
      <c r="R534" s="64"/>
      <c r="S534" s="65"/>
      <c r="T534" s="66">
        <v>47175.758487289037</v>
      </c>
      <c r="U534" s="67"/>
    </row>
    <row r="535" spans="1:21" x14ac:dyDescent="0.25">
      <c r="A535" s="60">
        <f t="shared" si="49"/>
        <v>507</v>
      </c>
      <c r="B535" s="61">
        <f t="shared" si="50"/>
        <v>49</v>
      </c>
      <c r="C535" s="62" t="s">
        <v>82</v>
      </c>
      <c r="D535" s="62" t="s">
        <v>1005</v>
      </c>
      <c r="E535" s="63">
        <f>SUBTOTAL(9,F535:T535)</f>
        <v>1338332.7178491487</v>
      </c>
      <c r="F535" s="64"/>
      <c r="G535" s="64"/>
      <c r="H535" s="64"/>
      <c r="I535" s="64"/>
      <c r="J535" s="64"/>
      <c r="K535" s="64"/>
      <c r="L535" s="64"/>
      <c r="M535" s="64">
        <v>0</v>
      </c>
      <c r="N535" s="64">
        <v>0</v>
      </c>
      <c r="O535" s="64">
        <v>1088656.8700000001</v>
      </c>
      <c r="P535" s="64">
        <v>0</v>
      </c>
      <c r="Q535" s="64">
        <v>0</v>
      </c>
      <c r="R535" s="64"/>
      <c r="S535" s="65"/>
      <c r="T535" s="66">
        <v>249675.84784914847</v>
      </c>
      <c r="U535" s="67"/>
    </row>
    <row r="536" spans="1:21" x14ac:dyDescent="0.25">
      <c r="A536" s="60">
        <f t="shared" si="49"/>
        <v>508</v>
      </c>
      <c r="B536" s="61">
        <f t="shared" si="50"/>
        <v>50</v>
      </c>
      <c r="C536" s="62" t="s">
        <v>82</v>
      </c>
      <c r="D536" s="62" t="s">
        <v>1116</v>
      </c>
      <c r="E536" s="63">
        <f>SUBTOTAL(9,F536:T536)</f>
        <v>2354342.2921141018</v>
      </c>
      <c r="F536" s="64"/>
      <c r="G536" s="64"/>
      <c r="H536" s="64">
        <v>1971493.3699526463</v>
      </c>
      <c r="I536" s="64"/>
      <c r="J536" s="64">
        <v>0</v>
      </c>
      <c r="K536" s="64"/>
      <c r="L536" s="64"/>
      <c r="M536" s="64">
        <v>0</v>
      </c>
      <c r="N536" s="64">
        <v>0</v>
      </c>
      <c r="O536" s="64"/>
      <c r="P536" s="64">
        <v>0</v>
      </c>
      <c r="Q536" s="64">
        <v>0</v>
      </c>
      <c r="R536" s="64"/>
      <c r="S536" s="65"/>
      <c r="T536" s="66">
        <v>382848.92216145538</v>
      </c>
      <c r="U536" s="67"/>
    </row>
    <row r="537" spans="1:21" x14ac:dyDescent="0.25">
      <c r="A537" s="60">
        <f t="shared" si="49"/>
        <v>509</v>
      </c>
      <c r="B537" s="61">
        <f t="shared" si="50"/>
        <v>51</v>
      </c>
      <c r="C537" s="62" t="s">
        <v>82</v>
      </c>
      <c r="D537" s="62" t="s">
        <v>1117</v>
      </c>
      <c r="E537" s="88">
        <f t="shared" si="48"/>
        <v>25882743.187999997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/>
      <c r="L537" s="64"/>
      <c r="M537" s="64">
        <v>0</v>
      </c>
      <c r="N537" s="64">
        <v>0</v>
      </c>
      <c r="O537" s="64">
        <v>0</v>
      </c>
      <c r="P537" s="64">
        <v>25328852.483776797</v>
      </c>
      <c r="Q537" s="64">
        <v>0</v>
      </c>
      <c r="R537" s="64"/>
      <c r="S537" s="64"/>
      <c r="T537" s="66">
        <v>553890.70422319998</v>
      </c>
      <c r="U537" s="67"/>
    </row>
    <row r="538" spans="1:21" x14ac:dyDescent="0.25">
      <c r="A538" s="60">
        <f t="shared" si="49"/>
        <v>510</v>
      </c>
      <c r="B538" s="61">
        <f t="shared" si="50"/>
        <v>52</v>
      </c>
      <c r="C538" s="62" t="s">
        <v>82</v>
      </c>
      <c r="D538" s="62" t="s">
        <v>655</v>
      </c>
      <c r="E538" s="88">
        <f t="shared" si="48"/>
        <v>3346381.5039214548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/>
      <c r="L538" s="64"/>
      <c r="M538" s="64">
        <v>0</v>
      </c>
      <c r="N538" s="64">
        <v>3174109.11127616</v>
      </c>
      <c r="O538" s="64">
        <v>0</v>
      </c>
      <c r="P538" s="64">
        <v>0</v>
      </c>
      <c r="Q538" s="64">
        <v>0</v>
      </c>
      <c r="R538" s="64">
        <v>69397.240000000005</v>
      </c>
      <c r="S538" s="65">
        <v>33463.815039214562</v>
      </c>
      <c r="T538" s="66">
        <v>69411.337606079964</v>
      </c>
      <c r="U538" s="67"/>
    </row>
    <row r="539" spans="1:21" x14ac:dyDescent="0.25">
      <c r="A539" s="60">
        <f t="shared" si="49"/>
        <v>511</v>
      </c>
      <c r="B539" s="61">
        <f t="shared" si="50"/>
        <v>53</v>
      </c>
      <c r="C539" s="62" t="s">
        <v>82</v>
      </c>
      <c r="D539" s="62" t="s">
        <v>1118</v>
      </c>
      <c r="E539" s="88">
        <f t="shared" si="48"/>
        <v>14456487.639332058</v>
      </c>
      <c r="F539" s="64"/>
      <c r="G539" s="64">
        <v>3497984.6377121583</v>
      </c>
      <c r="H539" s="64">
        <v>0</v>
      </c>
      <c r="I539" s="64">
        <v>0</v>
      </c>
      <c r="J539" s="64">
        <v>0</v>
      </c>
      <c r="K539" s="64"/>
      <c r="L539" s="64">
        <v>0</v>
      </c>
      <c r="M539" s="64"/>
      <c r="N539" s="64">
        <v>3471145.3937748596</v>
      </c>
      <c r="O539" s="64">
        <v>6079022.2564176768</v>
      </c>
      <c r="P539" s="64">
        <v>0</v>
      </c>
      <c r="Q539" s="64">
        <v>0</v>
      </c>
      <c r="R539" s="64">
        <v>994007.83490775037</v>
      </c>
      <c r="S539" s="65">
        <v>128990.85295824001</v>
      </c>
      <c r="T539" s="66">
        <v>285336.66356137389</v>
      </c>
      <c r="U539" s="67"/>
    </row>
    <row r="540" spans="1:21" x14ac:dyDescent="0.25">
      <c r="A540" s="60">
        <f t="shared" si="49"/>
        <v>512</v>
      </c>
      <c r="B540" s="61">
        <f t="shared" si="50"/>
        <v>54</v>
      </c>
      <c r="C540" s="62" t="s">
        <v>82</v>
      </c>
      <c r="D540" s="62" t="s">
        <v>656</v>
      </c>
      <c r="E540" s="88">
        <f t="shared" si="48"/>
        <v>12984744.641494041</v>
      </c>
      <c r="F540" s="64"/>
      <c r="G540" s="64">
        <v>7852851.4213333819</v>
      </c>
      <c r="H540" s="64">
        <v>0</v>
      </c>
      <c r="I540" s="64">
        <v>4638601.5713897999</v>
      </c>
      <c r="J540" s="64">
        <v>0</v>
      </c>
      <c r="K540" s="64"/>
      <c r="L540" s="64"/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/>
      <c r="S540" s="65"/>
      <c r="T540" s="66">
        <v>493291.64877085871</v>
      </c>
      <c r="U540" s="67"/>
    </row>
    <row r="541" spans="1:21" x14ac:dyDescent="0.25">
      <c r="A541" s="60">
        <f t="shared" si="49"/>
        <v>513</v>
      </c>
      <c r="B541" s="61">
        <f t="shared" si="50"/>
        <v>55</v>
      </c>
      <c r="C541" s="62" t="s">
        <v>82</v>
      </c>
      <c r="D541" s="62" t="s">
        <v>657</v>
      </c>
      <c r="E541" s="88">
        <f t="shared" si="48"/>
        <v>4271050</v>
      </c>
      <c r="F541" s="64"/>
      <c r="G541" s="64"/>
      <c r="H541" s="64"/>
      <c r="I541" s="64"/>
      <c r="J541" s="64"/>
      <c r="K541" s="64"/>
      <c r="L541" s="64"/>
      <c r="M541" s="64">
        <v>4012463.5488</v>
      </c>
      <c r="N541" s="64"/>
      <c r="O541" s="64"/>
      <c r="P541" s="64"/>
      <c r="Q541" s="64"/>
      <c r="R541" s="64">
        <v>128131.5</v>
      </c>
      <c r="S541" s="65">
        <v>42710.5</v>
      </c>
      <c r="T541" s="66">
        <v>87744.45120000001</v>
      </c>
      <c r="U541" s="67"/>
    </row>
    <row r="542" spans="1:21" x14ac:dyDescent="0.25">
      <c r="A542" s="60">
        <f t="shared" si="49"/>
        <v>514</v>
      </c>
      <c r="B542" s="61">
        <f t="shared" si="50"/>
        <v>56</v>
      </c>
      <c r="C542" s="62" t="s">
        <v>82</v>
      </c>
      <c r="D542" s="62" t="s">
        <v>647</v>
      </c>
      <c r="E542" s="63">
        <f>SUBTOTAL(9,F542:T542)</f>
        <v>19703004.987476178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/>
      <c r="L542" s="64"/>
      <c r="M542" s="64">
        <v>0</v>
      </c>
      <c r="N542" s="64">
        <v>0</v>
      </c>
      <c r="O542" s="64">
        <v>0</v>
      </c>
      <c r="P542" s="64">
        <v>19281360.680744186</v>
      </c>
      <c r="Q542" s="64">
        <v>0</v>
      </c>
      <c r="R542" s="64"/>
      <c r="S542" s="64"/>
      <c r="T542" s="66">
        <v>421644.30673199019</v>
      </c>
      <c r="U542" s="67"/>
    </row>
    <row r="543" spans="1:21" x14ac:dyDescent="0.25">
      <c r="A543" s="60">
        <f t="shared" si="49"/>
        <v>515</v>
      </c>
      <c r="B543" s="61">
        <f t="shared" si="50"/>
        <v>57</v>
      </c>
      <c r="C543" s="62" t="s">
        <v>82</v>
      </c>
      <c r="D543" s="62" t="s">
        <v>1068</v>
      </c>
      <c r="E543" s="88">
        <f t="shared" si="48"/>
        <v>6784277.0529123824</v>
      </c>
      <c r="F543" s="64"/>
      <c r="G543" s="64">
        <v>2994835.8043932607</v>
      </c>
      <c r="H543" s="64">
        <v>1812454.0010526525</v>
      </c>
      <c r="I543" s="64">
        <v>1413556.2562963832</v>
      </c>
      <c r="J543" s="64">
        <v>0</v>
      </c>
      <c r="K543" s="64"/>
      <c r="L543" s="64"/>
      <c r="M543" s="64">
        <v>0</v>
      </c>
      <c r="N543" s="64">
        <v>0</v>
      </c>
      <c r="O543" s="64">
        <v>0</v>
      </c>
      <c r="P543" s="64"/>
      <c r="Q543" s="64">
        <v>0</v>
      </c>
      <c r="R543" s="64"/>
      <c r="S543" s="65"/>
      <c r="T543" s="66">
        <v>563430.99117008597</v>
      </c>
      <c r="U543" s="67"/>
    </row>
    <row r="544" spans="1:21" x14ac:dyDescent="0.25">
      <c r="A544" s="60">
        <f t="shared" si="49"/>
        <v>516</v>
      </c>
      <c r="B544" s="61">
        <f t="shared" si="50"/>
        <v>58</v>
      </c>
      <c r="C544" s="62" t="s">
        <v>82</v>
      </c>
      <c r="D544" s="62" t="s">
        <v>444</v>
      </c>
      <c r="E544" s="88">
        <f t="shared" si="48"/>
        <v>8457334.6576008759</v>
      </c>
      <c r="F544" s="64">
        <v>7922733.5666669495</v>
      </c>
      <c r="G544" s="64">
        <v>0</v>
      </c>
      <c r="H544" s="64">
        <v>0</v>
      </c>
      <c r="I544" s="64">
        <v>0</v>
      </c>
      <c r="J544" s="64">
        <v>0</v>
      </c>
      <c r="K544" s="64"/>
      <c r="L544" s="64">
        <v>353614.12926126696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/>
      <c r="S544" s="65"/>
      <c r="T544" s="66">
        <v>180986.96167265877</v>
      </c>
      <c r="U544" s="67"/>
    </row>
    <row r="545" spans="1:21" x14ac:dyDescent="0.25">
      <c r="A545" s="60">
        <f t="shared" si="49"/>
        <v>517</v>
      </c>
      <c r="B545" s="61">
        <f t="shared" si="50"/>
        <v>59</v>
      </c>
      <c r="C545" s="62" t="s">
        <v>82</v>
      </c>
      <c r="D545" s="62" t="s">
        <v>1007</v>
      </c>
      <c r="E545" s="88">
        <f t="shared" si="48"/>
        <v>6634721.1916756136</v>
      </c>
      <c r="F545" s="64">
        <v>0</v>
      </c>
      <c r="G545" s="64">
        <v>0</v>
      </c>
      <c r="H545" s="64">
        <v>6492738.1581737557</v>
      </c>
      <c r="I545" s="64">
        <v>0</v>
      </c>
      <c r="J545" s="64">
        <v>0</v>
      </c>
      <c r="K545" s="64"/>
      <c r="L545" s="64"/>
      <c r="M545" s="64">
        <v>0</v>
      </c>
      <c r="N545" s="64">
        <v>0</v>
      </c>
      <c r="O545" s="64">
        <v>0</v>
      </c>
      <c r="P545" s="64"/>
      <c r="Q545" s="64">
        <v>0</v>
      </c>
      <c r="R545" s="64"/>
      <c r="S545" s="65"/>
      <c r="T545" s="66">
        <v>141983.03350185812</v>
      </c>
      <c r="U545" s="67"/>
    </row>
    <row r="546" spans="1:21" x14ac:dyDescent="0.25">
      <c r="A546" s="60">
        <f t="shared" si="49"/>
        <v>518</v>
      </c>
      <c r="B546" s="61">
        <f t="shared" si="50"/>
        <v>60</v>
      </c>
      <c r="C546" s="62" t="s">
        <v>82</v>
      </c>
      <c r="D546" s="62" t="s">
        <v>1119</v>
      </c>
      <c r="E546" s="88">
        <f t="shared" si="48"/>
        <v>3591360</v>
      </c>
      <c r="F546" s="64"/>
      <c r="G546" s="64"/>
      <c r="H546" s="64"/>
      <c r="I546" s="64"/>
      <c r="J546" s="64"/>
      <c r="K546" s="64"/>
      <c r="L546" s="64"/>
      <c r="M546" s="64">
        <v>3388344.6460698778</v>
      </c>
      <c r="N546" s="64"/>
      <c r="O546" s="64"/>
      <c r="P546" s="64"/>
      <c r="Q546" s="64"/>
      <c r="R546" s="64">
        <v>104919.11907839999</v>
      </c>
      <c r="S546" s="65">
        <v>24000</v>
      </c>
      <c r="T546" s="66">
        <v>74096.234851722242</v>
      </c>
      <c r="U546" s="67"/>
    </row>
    <row r="547" spans="1:21" x14ac:dyDescent="0.25">
      <c r="A547" s="60">
        <f t="shared" si="49"/>
        <v>519</v>
      </c>
      <c r="B547" s="61">
        <f t="shared" si="50"/>
        <v>61</v>
      </c>
      <c r="C547" s="62" t="s">
        <v>82</v>
      </c>
      <c r="D547" s="62" t="s">
        <v>1120</v>
      </c>
      <c r="E547" s="88">
        <f t="shared" si="48"/>
        <v>4870090.7241982725</v>
      </c>
      <c r="F547" s="64">
        <v>0</v>
      </c>
      <c r="G547" s="64">
        <v>0</v>
      </c>
      <c r="H547" s="64">
        <v>4765870.7827004297</v>
      </c>
      <c r="I547" s="64">
        <v>0</v>
      </c>
      <c r="J547" s="64">
        <v>0</v>
      </c>
      <c r="K547" s="64"/>
      <c r="L547" s="64"/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/>
      <c r="S547" s="65"/>
      <c r="T547" s="66">
        <v>104219.94149784304</v>
      </c>
      <c r="U547" s="67"/>
    </row>
    <row r="548" spans="1:21" x14ac:dyDescent="0.25">
      <c r="A548" s="60">
        <f t="shared" si="49"/>
        <v>520</v>
      </c>
      <c r="B548" s="61">
        <f t="shared" si="50"/>
        <v>62</v>
      </c>
      <c r="C548" s="62" t="s">
        <v>82</v>
      </c>
      <c r="D548" s="62" t="s">
        <v>658</v>
      </c>
      <c r="E548" s="88">
        <f t="shared" si="48"/>
        <v>7639006.5090553984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/>
      <c r="L548" s="64"/>
      <c r="M548" s="64">
        <v>0</v>
      </c>
      <c r="N548" s="64">
        <v>0</v>
      </c>
      <c r="O548" s="64">
        <v>7475531.7697616126</v>
      </c>
      <c r="P548" s="64">
        <v>0</v>
      </c>
      <c r="Q548" s="64">
        <v>0</v>
      </c>
      <c r="R548" s="64"/>
      <c r="S548" s="65"/>
      <c r="T548" s="66">
        <v>163474.73929378553</v>
      </c>
      <c r="U548" s="67"/>
    </row>
    <row r="549" spans="1:21" x14ac:dyDescent="0.25">
      <c r="A549" s="60">
        <f t="shared" si="49"/>
        <v>521</v>
      </c>
      <c r="B549" s="61">
        <f t="shared" si="50"/>
        <v>63</v>
      </c>
      <c r="C549" s="62" t="s">
        <v>82</v>
      </c>
      <c r="D549" s="62" t="s">
        <v>1121</v>
      </c>
      <c r="E549" s="88">
        <f t="shared" si="48"/>
        <v>9448623.270141121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/>
      <c r="L549" s="64"/>
      <c r="M549" s="64">
        <v>0</v>
      </c>
      <c r="N549" s="64">
        <v>0</v>
      </c>
      <c r="O549" s="64">
        <v>9246422.7321601007</v>
      </c>
      <c r="P549" s="64">
        <v>0</v>
      </c>
      <c r="Q549" s="64">
        <v>0</v>
      </c>
      <c r="R549" s="64"/>
      <c r="S549" s="65"/>
      <c r="T549" s="66">
        <v>202200.53798102</v>
      </c>
      <c r="U549" s="67"/>
    </row>
    <row r="550" spans="1:21" x14ac:dyDescent="0.25">
      <c r="A550" s="60">
        <f t="shared" si="49"/>
        <v>522</v>
      </c>
      <c r="B550" s="61">
        <f t="shared" si="50"/>
        <v>64</v>
      </c>
      <c r="C550" s="62" t="s">
        <v>82</v>
      </c>
      <c r="D550" s="62" t="s">
        <v>450</v>
      </c>
      <c r="E550" s="63">
        <f>SUBTOTAL(9,F550:T550)</f>
        <v>8051900.4295911137</v>
      </c>
      <c r="F550" s="64">
        <v>6588114.6970215756</v>
      </c>
      <c r="G550" s="64">
        <v>0</v>
      </c>
      <c r="H550" s="64">
        <v>0</v>
      </c>
      <c r="I550" s="64">
        <v>1196031.0741961454</v>
      </c>
      <c r="J550" s="64">
        <v>0</v>
      </c>
      <c r="K550" s="64"/>
      <c r="L550" s="64"/>
      <c r="M550" s="64">
        <v>0</v>
      </c>
      <c r="N550" s="64">
        <v>0</v>
      </c>
      <c r="O550" s="64"/>
      <c r="P550" s="64">
        <v>0</v>
      </c>
      <c r="Q550" s="64">
        <v>0</v>
      </c>
      <c r="R550" s="64"/>
      <c r="S550" s="65"/>
      <c r="T550" s="66">
        <v>267754.65837339283</v>
      </c>
      <c r="U550" s="67"/>
    </row>
    <row r="551" spans="1:21" x14ac:dyDescent="0.25">
      <c r="A551" s="60">
        <f t="shared" si="49"/>
        <v>523</v>
      </c>
      <c r="B551" s="61">
        <f t="shared" si="50"/>
        <v>65</v>
      </c>
      <c r="C551" s="62" t="s">
        <v>82</v>
      </c>
      <c r="D551" s="62" t="s">
        <v>659</v>
      </c>
      <c r="E551" s="88">
        <f t="shared" si="48"/>
        <v>13076420.522556204</v>
      </c>
      <c r="F551" s="64">
        <v>7984235.7978000082</v>
      </c>
      <c r="G551" s="64">
        <v>4159770.8879819368</v>
      </c>
      <c r="H551" s="64">
        <v>0</v>
      </c>
      <c r="I551" s="64">
        <v>0</v>
      </c>
      <c r="J551" s="64">
        <v>0</v>
      </c>
      <c r="K551" s="64"/>
      <c r="L551" s="64">
        <v>652578.43759155576</v>
      </c>
      <c r="M551" s="64">
        <v>0</v>
      </c>
      <c r="N551" s="64"/>
      <c r="O551" s="64"/>
      <c r="P551" s="64"/>
      <c r="Q551" s="64">
        <v>0</v>
      </c>
      <c r="R551" s="64"/>
      <c r="S551" s="65"/>
      <c r="T551" s="66">
        <v>279835.39918270282</v>
      </c>
      <c r="U551" s="67"/>
    </row>
    <row r="552" spans="1:21" x14ac:dyDescent="0.25">
      <c r="A552" s="60">
        <f t="shared" si="49"/>
        <v>524</v>
      </c>
      <c r="B552" s="61">
        <f t="shared" si="50"/>
        <v>66</v>
      </c>
      <c r="C552" s="62" t="s">
        <v>82</v>
      </c>
      <c r="D552" s="62" t="s">
        <v>1122</v>
      </c>
      <c r="E552" s="88">
        <f t="shared" si="48"/>
        <v>17930144.012118228</v>
      </c>
      <c r="F552" s="64">
        <v>10224281.589162949</v>
      </c>
      <c r="G552" s="64">
        <v>4925359.931961678</v>
      </c>
      <c r="H552" s="64">
        <v>2187734.91</v>
      </c>
      <c r="I552" s="64">
        <v>0</v>
      </c>
      <c r="J552" s="64">
        <v>0</v>
      </c>
      <c r="K552" s="64"/>
      <c r="L552" s="64">
        <v>330229.41716311924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/>
      <c r="S552" s="65"/>
      <c r="T552" s="66">
        <v>262538.16383048223</v>
      </c>
      <c r="U552" s="67"/>
    </row>
    <row r="553" spans="1:21" x14ac:dyDescent="0.25">
      <c r="A553" s="60">
        <f t="shared" ref="A553:A616" si="53">+A552+1</f>
        <v>525</v>
      </c>
      <c r="B553" s="61">
        <f t="shared" ref="B553:B616" si="54">+B552+1</f>
        <v>67</v>
      </c>
      <c r="C553" s="62" t="s">
        <v>82</v>
      </c>
      <c r="D553" s="62" t="s">
        <v>660</v>
      </c>
      <c r="E553" s="88">
        <f t="shared" si="48"/>
        <v>14365440</v>
      </c>
      <c r="F553" s="64"/>
      <c r="G553" s="64"/>
      <c r="H553" s="64"/>
      <c r="I553" s="64"/>
      <c r="J553" s="64"/>
      <c r="K553" s="64"/>
      <c r="L553" s="64"/>
      <c r="M553" s="64">
        <v>13495698.80064</v>
      </c>
      <c r="N553" s="64"/>
      <c r="O553" s="64"/>
      <c r="P553" s="64"/>
      <c r="Q553" s="64"/>
      <c r="R553" s="64">
        <v>430963.20000000001</v>
      </c>
      <c r="S553" s="65">
        <v>143654.39999999999</v>
      </c>
      <c r="T553" s="66">
        <v>295123.59935999999</v>
      </c>
      <c r="U553" s="67"/>
    </row>
    <row r="554" spans="1:21" x14ac:dyDescent="0.25">
      <c r="A554" s="60">
        <f t="shared" si="53"/>
        <v>526</v>
      </c>
      <c r="B554" s="61">
        <f t="shared" si="54"/>
        <v>68</v>
      </c>
      <c r="C554" s="62" t="s">
        <v>82</v>
      </c>
      <c r="D554" s="62" t="s">
        <v>1009</v>
      </c>
      <c r="E554" s="63">
        <f>SUBTOTAL(9,F554:T554)</f>
        <v>3347402.022785434</v>
      </c>
      <c r="F554" s="64"/>
      <c r="G554" s="64"/>
      <c r="H554" s="64">
        <v>3275767.6194978259</v>
      </c>
      <c r="I554" s="64"/>
      <c r="J554" s="64"/>
      <c r="K554" s="64"/>
      <c r="L554" s="64"/>
      <c r="M554" s="64"/>
      <c r="N554" s="64"/>
      <c r="O554" s="64">
        <v>0</v>
      </c>
      <c r="P554" s="64">
        <v>0</v>
      </c>
      <c r="Q554" s="64">
        <v>0</v>
      </c>
      <c r="R554" s="64"/>
      <c r="S554" s="65"/>
      <c r="T554" s="66">
        <v>71634.403287608293</v>
      </c>
      <c r="U554" s="67"/>
    </row>
    <row r="555" spans="1:21" x14ac:dyDescent="0.25">
      <c r="A555" s="60">
        <f t="shared" si="53"/>
        <v>527</v>
      </c>
      <c r="B555" s="61">
        <f t="shared" si="54"/>
        <v>69</v>
      </c>
      <c r="C555" s="62" t="s">
        <v>82</v>
      </c>
      <c r="D555" s="62" t="s">
        <v>322</v>
      </c>
      <c r="E555" s="63">
        <f>SUBTOTAL(9,F555:T555)</f>
        <v>5076500.6375817275</v>
      </c>
      <c r="F555" s="64"/>
      <c r="G555" s="64"/>
      <c r="H555" s="64">
        <v>4496173.9029232748</v>
      </c>
      <c r="I555" s="64"/>
      <c r="J555" s="64">
        <v>0</v>
      </c>
      <c r="K555" s="64"/>
      <c r="L555" s="64"/>
      <c r="M555" s="64">
        <v>0</v>
      </c>
      <c r="N555" s="64">
        <v>0</v>
      </c>
      <c r="O555" s="64"/>
      <c r="P555" s="64">
        <v>0</v>
      </c>
      <c r="Q555" s="64">
        <v>0</v>
      </c>
      <c r="R555" s="64"/>
      <c r="S555" s="65"/>
      <c r="T555" s="66">
        <v>580326.73465845292</v>
      </c>
      <c r="U555" s="67"/>
    </row>
    <row r="556" spans="1:21" x14ac:dyDescent="0.25">
      <c r="A556" s="60">
        <f t="shared" si="53"/>
        <v>528</v>
      </c>
      <c r="B556" s="61">
        <f t="shared" si="54"/>
        <v>70</v>
      </c>
      <c r="C556" s="62" t="s">
        <v>82</v>
      </c>
      <c r="D556" s="62" t="s">
        <v>454</v>
      </c>
      <c r="E556" s="63">
        <f>SUBTOTAL(9,F556:T556)</f>
        <v>3746079.1046375427</v>
      </c>
      <c r="F556" s="64">
        <v>0</v>
      </c>
      <c r="G556" s="64">
        <v>0</v>
      </c>
      <c r="H556" s="64">
        <v>3665913.0117982994</v>
      </c>
      <c r="I556" s="64">
        <v>0</v>
      </c>
      <c r="J556" s="64">
        <v>0</v>
      </c>
      <c r="K556" s="64"/>
      <c r="L556" s="64"/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/>
      <c r="S556" s="65"/>
      <c r="T556" s="66">
        <v>80166.092839243414</v>
      </c>
      <c r="U556" s="67"/>
    </row>
    <row r="557" spans="1:21" x14ac:dyDescent="0.25">
      <c r="A557" s="60">
        <f t="shared" si="53"/>
        <v>529</v>
      </c>
      <c r="B557" s="61">
        <f t="shared" si="54"/>
        <v>71</v>
      </c>
      <c r="C557" s="62" t="s">
        <v>82</v>
      </c>
      <c r="D557" s="62" t="s">
        <v>1123</v>
      </c>
      <c r="E557" s="88">
        <f t="shared" si="48"/>
        <v>9608202.146264391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/>
      <c r="L557" s="64"/>
      <c r="M557" s="64">
        <v>0</v>
      </c>
      <c r="N557" s="64">
        <v>0</v>
      </c>
      <c r="O557" s="64">
        <v>0</v>
      </c>
      <c r="P557" s="64">
        <v>9403121.0399999991</v>
      </c>
      <c r="Q557" s="64">
        <v>0</v>
      </c>
      <c r="R557" s="64"/>
      <c r="S557" s="65"/>
      <c r="T557" s="66">
        <v>205081.10626439168</v>
      </c>
      <c r="U557" s="67"/>
    </row>
    <row r="558" spans="1:21" x14ac:dyDescent="0.25">
      <c r="A558" s="60">
        <f t="shared" si="53"/>
        <v>530</v>
      </c>
      <c r="B558" s="61">
        <f t="shared" si="54"/>
        <v>72</v>
      </c>
      <c r="C558" s="62" t="s">
        <v>82</v>
      </c>
      <c r="D558" s="62" t="s">
        <v>648</v>
      </c>
      <c r="E558" s="63">
        <f t="shared" si="48"/>
        <v>4245972.5140081281</v>
      </c>
      <c r="F558" s="64"/>
      <c r="G558" s="64">
        <v>0</v>
      </c>
      <c r="H558" s="64">
        <v>3907208.0564832622</v>
      </c>
      <c r="I558" s="64">
        <v>0</v>
      </c>
      <c r="J558" s="64">
        <v>0</v>
      </c>
      <c r="K558" s="64"/>
      <c r="L558" s="64"/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/>
      <c r="S558" s="65"/>
      <c r="T558" s="66">
        <v>338764.45752486604</v>
      </c>
      <c r="U558" s="67"/>
    </row>
    <row r="559" spans="1:21" x14ac:dyDescent="0.25">
      <c r="A559" s="60">
        <f t="shared" si="53"/>
        <v>531</v>
      </c>
      <c r="B559" s="61">
        <f t="shared" si="54"/>
        <v>73</v>
      </c>
      <c r="C559" s="62" t="s">
        <v>82</v>
      </c>
      <c r="D559" s="62" t="s">
        <v>1124</v>
      </c>
      <c r="E559" s="88">
        <f t="shared" si="48"/>
        <v>13972173.255062804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/>
      <c r="L559" s="64"/>
      <c r="M559" s="64">
        <v>0</v>
      </c>
      <c r="N559" s="64">
        <v>13673168.74740446</v>
      </c>
      <c r="O559" s="64">
        <v>0</v>
      </c>
      <c r="P559" s="64">
        <v>0</v>
      </c>
      <c r="Q559" s="64">
        <v>0</v>
      </c>
      <c r="R559" s="64"/>
      <c r="S559" s="65"/>
      <c r="T559" s="66">
        <v>299004.50765834399</v>
      </c>
      <c r="U559" s="67"/>
    </row>
    <row r="560" spans="1:21" x14ac:dyDescent="0.25">
      <c r="A560" s="60">
        <f t="shared" si="53"/>
        <v>532</v>
      </c>
      <c r="B560" s="61">
        <f t="shared" si="54"/>
        <v>74</v>
      </c>
      <c r="C560" s="62" t="s">
        <v>82</v>
      </c>
      <c r="D560" s="62" t="s">
        <v>325</v>
      </c>
      <c r="E560" s="63">
        <f>SUBTOTAL(9,F560:T560)</f>
        <v>13630832.755463313</v>
      </c>
      <c r="F560" s="64">
        <v>9909305.8300000001</v>
      </c>
      <c r="G560" s="64">
        <v>0</v>
      </c>
      <c r="H560" s="64">
        <v>0</v>
      </c>
      <c r="I560" s="64">
        <v>3466626.6149921236</v>
      </c>
      <c r="J560" s="64">
        <v>0</v>
      </c>
      <c r="K560" s="64"/>
      <c r="L560" s="64"/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/>
      <c r="S560" s="65"/>
      <c r="T560" s="66">
        <v>254900.31047118944</v>
      </c>
      <c r="U560" s="67"/>
    </row>
    <row r="561" spans="1:21" x14ac:dyDescent="0.25">
      <c r="A561" s="60">
        <f t="shared" si="53"/>
        <v>533</v>
      </c>
      <c r="B561" s="61">
        <f t="shared" si="54"/>
        <v>75</v>
      </c>
      <c r="C561" s="62" t="s">
        <v>82</v>
      </c>
      <c r="D561" s="62" t="s">
        <v>1125</v>
      </c>
      <c r="E561" s="63">
        <f>SUBTOTAL(9,F561:T561)</f>
        <v>14498543.726390138</v>
      </c>
      <c r="F561" s="64">
        <v>10454253.24</v>
      </c>
      <c r="G561" s="64">
        <v>0</v>
      </c>
      <c r="H561" s="64">
        <v>0</v>
      </c>
      <c r="I561" s="64">
        <v>3766945.2952091699</v>
      </c>
      <c r="J561" s="64">
        <v>0</v>
      </c>
      <c r="K561" s="64"/>
      <c r="L561" s="64"/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/>
      <c r="S561" s="65"/>
      <c r="T561" s="66">
        <v>277345.19118096889</v>
      </c>
      <c r="U561" s="67"/>
    </row>
    <row r="562" spans="1:21" x14ac:dyDescent="0.25">
      <c r="A562" s="60">
        <f t="shared" si="53"/>
        <v>534</v>
      </c>
      <c r="B562" s="61">
        <f t="shared" si="54"/>
        <v>76</v>
      </c>
      <c r="C562" s="62" t="s">
        <v>82</v>
      </c>
      <c r="D562" s="62" t="s">
        <v>661</v>
      </c>
      <c r="E562" s="88">
        <f t="shared" si="48"/>
        <v>17440324.817983367</v>
      </c>
      <c r="F562" s="64">
        <v>16337895.145822233</v>
      </c>
      <c r="G562" s="64">
        <v>0</v>
      </c>
      <c r="H562" s="64">
        <v>0</v>
      </c>
      <c r="I562" s="64">
        <v>0</v>
      </c>
      <c r="J562" s="64">
        <v>0</v>
      </c>
      <c r="K562" s="64"/>
      <c r="L562" s="64">
        <v>729206.72105628939</v>
      </c>
      <c r="M562" s="64">
        <v>0</v>
      </c>
      <c r="N562" s="64">
        <v>0</v>
      </c>
      <c r="O562" s="64">
        <v>0</v>
      </c>
      <c r="P562" s="64">
        <v>0</v>
      </c>
      <c r="Q562" s="64">
        <v>0</v>
      </c>
      <c r="R562" s="64"/>
      <c r="S562" s="65"/>
      <c r="T562" s="66">
        <v>373222.95110484399</v>
      </c>
      <c r="U562" s="67"/>
    </row>
    <row r="563" spans="1:21" x14ac:dyDescent="0.25">
      <c r="A563" s="60">
        <f t="shared" si="53"/>
        <v>535</v>
      </c>
      <c r="B563" s="61">
        <f t="shared" si="54"/>
        <v>77</v>
      </c>
      <c r="C563" s="62" t="s">
        <v>82</v>
      </c>
      <c r="D563" s="62" t="s">
        <v>331</v>
      </c>
      <c r="E563" s="88">
        <f t="shared" si="48"/>
        <v>21989359.511146132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/>
      <c r="L563" s="64"/>
      <c r="M563" s="64">
        <v>0</v>
      </c>
      <c r="N563" s="64">
        <v>8908740.4806679767</v>
      </c>
      <c r="O563" s="64">
        <v>0</v>
      </c>
      <c r="P563" s="64">
        <v>12608207.194969805</v>
      </c>
      <c r="Q563" s="64">
        <v>0</v>
      </c>
      <c r="R563" s="64"/>
      <c r="S563" s="65"/>
      <c r="T563" s="66">
        <v>472411.83550834999</v>
      </c>
      <c r="U563" s="67"/>
    </row>
    <row r="564" spans="1:21" x14ac:dyDescent="0.25">
      <c r="A564" s="60">
        <f t="shared" si="53"/>
        <v>536</v>
      </c>
      <c r="B564" s="61">
        <f t="shared" si="54"/>
        <v>78</v>
      </c>
      <c r="C564" s="62" t="s">
        <v>82</v>
      </c>
      <c r="D564" s="62" t="s">
        <v>662</v>
      </c>
      <c r="E564" s="88">
        <f t="shared" si="48"/>
        <v>44034980.824083202</v>
      </c>
      <c r="F564" s="64">
        <v>17650757.325178169</v>
      </c>
      <c r="G564" s="64">
        <v>0</v>
      </c>
      <c r="H564" s="64">
        <v>0</v>
      </c>
      <c r="I564" s="64">
        <v>5270628.8244372001</v>
      </c>
      <c r="J564" s="64">
        <v>0</v>
      </c>
      <c r="K564" s="64"/>
      <c r="L564" s="64">
        <v>521283.62919142889</v>
      </c>
      <c r="M564" s="64"/>
      <c r="N564" s="64">
        <v>19605564.18093317</v>
      </c>
      <c r="O564" s="64">
        <v>0</v>
      </c>
      <c r="P564" s="64">
        <v>0</v>
      </c>
      <c r="Q564" s="64">
        <v>0</v>
      </c>
      <c r="R564" s="64"/>
      <c r="S564" s="65"/>
      <c r="T564" s="66">
        <v>986746.86434323061</v>
      </c>
      <c r="U564" s="67"/>
    </row>
    <row r="565" spans="1:21" x14ac:dyDescent="0.25">
      <c r="A565" s="60">
        <f t="shared" si="53"/>
        <v>537</v>
      </c>
      <c r="B565" s="61">
        <f t="shared" si="54"/>
        <v>79</v>
      </c>
      <c r="C565" s="62" t="s">
        <v>82</v>
      </c>
      <c r="D565" s="62" t="s">
        <v>330</v>
      </c>
      <c r="E565" s="88">
        <f t="shared" si="48"/>
        <v>4384839.7268517418</v>
      </c>
      <c r="F565" s="64"/>
      <c r="G565" s="64"/>
      <c r="H565" s="64"/>
      <c r="I565" s="64"/>
      <c r="J565" s="64">
        <v>0</v>
      </c>
      <c r="K565" s="64"/>
      <c r="L565" s="64"/>
      <c r="M565" s="64">
        <v>0</v>
      </c>
      <c r="N565" s="64">
        <v>0</v>
      </c>
      <c r="O565" s="64">
        <v>4291004.1566971149</v>
      </c>
      <c r="P565" s="64">
        <v>0</v>
      </c>
      <c r="Q565" s="64">
        <v>0</v>
      </c>
      <c r="R565" s="64"/>
      <c r="S565" s="65"/>
      <c r="T565" s="66">
        <v>93835.570154627276</v>
      </c>
      <c r="U565" s="67"/>
    </row>
    <row r="566" spans="1:21" x14ac:dyDescent="0.25">
      <c r="A566" s="60">
        <f t="shared" si="53"/>
        <v>538</v>
      </c>
      <c r="B566" s="61">
        <f t="shared" si="54"/>
        <v>80</v>
      </c>
      <c r="C566" s="62" t="s">
        <v>82</v>
      </c>
      <c r="D566" s="62" t="s">
        <v>664</v>
      </c>
      <c r="E566" s="88">
        <f t="shared" ref="E566:E615" si="55">SUBTOTAL(9,F566:T566)</f>
        <v>4315572.956732153</v>
      </c>
      <c r="F566" s="64"/>
      <c r="G566" s="64">
        <v>0</v>
      </c>
      <c r="H566" s="64">
        <v>4223219.6954580853</v>
      </c>
      <c r="I566" s="64">
        <v>0</v>
      </c>
      <c r="J566" s="64">
        <v>0</v>
      </c>
      <c r="K566" s="64"/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/>
      <c r="S566" s="65"/>
      <c r="T566" s="66">
        <v>92353.261274068078</v>
      </c>
      <c r="U566" s="67"/>
    </row>
    <row r="567" spans="1:21" x14ac:dyDescent="0.25">
      <c r="A567" s="60">
        <f t="shared" si="53"/>
        <v>539</v>
      </c>
      <c r="B567" s="61">
        <f t="shared" si="54"/>
        <v>81</v>
      </c>
      <c r="C567" s="62" t="s">
        <v>82</v>
      </c>
      <c r="D567" s="62" t="s">
        <v>665</v>
      </c>
      <c r="E567" s="88">
        <f t="shared" si="55"/>
        <v>31196291.718629997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/>
      <c r="L567" s="64"/>
      <c r="M567" s="64">
        <v>0</v>
      </c>
      <c r="N567" s="64">
        <v>0</v>
      </c>
      <c r="O567" s="64">
        <v>0</v>
      </c>
      <c r="P567" s="64">
        <v>30528691.075851314</v>
      </c>
      <c r="Q567" s="64">
        <v>0</v>
      </c>
      <c r="R567" s="64"/>
      <c r="S567" s="65"/>
      <c r="T567" s="66">
        <v>667600.64277868194</v>
      </c>
      <c r="U567" s="67"/>
    </row>
    <row r="568" spans="1:21" x14ac:dyDescent="0.25">
      <c r="A568" s="60">
        <f t="shared" si="53"/>
        <v>540</v>
      </c>
      <c r="B568" s="61">
        <f t="shared" si="54"/>
        <v>82</v>
      </c>
      <c r="C568" s="62" t="s">
        <v>82</v>
      </c>
      <c r="D568" s="62" t="s">
        <v>337</v>
      </c>
      <c r="E568" s="88">
        <f t="shared" si="55"/>
        <v>16519834.062914653</v>
      </c>
      <c r="F568" s="64"/>
      <c r="G568" s="64"/>
      <c r="H568" s="64"/>
      <c r="I568" s="64"/>
      <c r="J568" s="64"/>
      <c r="K568" s="64"/>
      <c r="L568" s="64"/>
      <c r="M568" s="64">
        <v>0</v>
      </c>
      <c r="N568" s="64">
        <v>0</v>
      </c>
      <c r="O568" s="64">
        <v>0</v>
      </c>
      <c r="P568" s="64">
        <v>16225158.467876311</v>
      </c>
      <c r="Q568" s="64">
        <v>0</v>
      </c>
      <c r="R568" s="64"/>
      <c r="S568" s="65"/>
      <c r="T568" s="66">
        <v>294675.59503834188</v>
      </c>
      <c r="U568" s="67"/>
    </row>
    <row r="569" spans="1:21" x14ac:dyDescent="0.25">
      <c r="A569" s="60">
        <f t="shared" si="53"/>
        <v>541</v>
      </c>
      <c r="B569" s="61">
        <f t="shared" si="54"/>
        <v>83</v>
      </c>
      <c r="C569" s="62" t="s">
        <v>82</v>
      </c>
      <c r="D569" s="62" t="s">
        <v>1126</v>
      </c>
      <c r="E569" s="88">
        <f t="shared" si="55"/>
        <v>10112080.947587986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/>
      <c r="L569" s="64"/>
      <c r="M569" s="64">
        <v>0</v>
      </c>
      <c r="N569" s="64">
        <v>0</v>
      </c>
      <c r="O569" s="64">
        <v>9895682.4153096024</v>
      </c>
      <c r="P569" s="64">
        <v>0</v>
      </c>
      <c r="Q569" s="64">
        <v>0</v>
      </c>
      <c r="R569" s="64"/>
      <c r="S569" s="65"/>
      <c r="T569" s="66">
        <v>216398.53227838289</v>
      </c>
      <c r="U569" s="67"/>
    </row>
    <row r="570" spans="1:21" x14ac:dyDescent="0.25">
      <c r="A570" s="60">
        <f t="shared" si="53"/>
        <v>542</v>
      </c>
      <c r="B570" s="61">
        <f t="shared" si="54"/>
        <v>84</v>
      </c>
      <c r="C570" s="62" t="s">
        <v>82</v>
      </c>
      <c r="D570" s="62" t="s">
        <v>1070</v>
      </c>
      <c r="E570" s="88">
        <f t="shared" si="55"/>
        <v>18806450.389949631</v>
      </c>
      <c r="F570" s="64"/>
      <c r="G570" s="64">
        <v>0</v>
      </c>
      <c r="H570" s="64">
        <v>0</v>
      </c>
      <c r="I570" s="64">
        <v>5691095.7505916627</v>
      </c>
      <c r="J570" s="64">
        <v>0</v>
      </c>
      <c r="K570" s="64"/>
      <c r="L570" s="64"/>
      <c r="M570" s="64">
        <v>0</v>
      </c>
      <c r="N570" s="64"/>
      <c r="O570" s="64">
        <v>12028791.937780973</v>
      </c>
      <c r="P570" s="64">
        <v>0</v>
      </c>
      <c r="Q570" s="64">
        <v>0</v>
      </c>
      <c r="R570" s="64"/>
      <c r="S570" s="65"/>
      <c r="T570" s="66">
        <v>1086562.7015769957</v>
      </c>
      <c r="U570" s="67"/>
    </row>
    <row r="571" spans="1:21" x14ac:dyDescent="0.25">
      <c r="A571" s="60">
        <f t="shared" si="53"/>
        <v>543</v>
      </c>
      <c r="B571" s="61">
        <f t="shared" si="54"/>
        <v>85</v>
      </c>
      <c r="C571" s="62" t="s">
        <v>82</v>
      </c>
      <c r="D571" s="62" t="s">
        <v>1127</v>
      </c>
      <c r="E571" s="88">
        <f t="shared" si="55"/>
        <v>4709633.236493363</v>
      </c>
      <c r="F571" s="64">
        <v>0</v>
      </c>
      <c r="G571" s="64">
        <v>0</v>
      </c>
      <c r="H571" s="64">
        <v>4608847.085232405</v>
      </c>
      <c r="I571" s="64">
        <v>0</v>
      </c>
      <c r="J571" s="64">
        <v>0</v>
      </c>
      <c r="K571" s="64"/>
      <c r="L571" s="64"/>
      <c r="M571" s="64">
        <v>0</v>
      </c>
      <c r="N571" s="64">
        <v>0</v>
      </c>
      <c r="O571" s="64">
        <v>0</v>
      </c>
      <c r="P571" s="64"/>
      <c r="Q571" s="64">
        <v>0</v>
      </c>
      <c r="R571" s="64"/>
      <c r="S571" s="65"/>
      <c r="T571" s="66">
        <v>100786.15126095798</v>
      </c>
      <c r="U571" s="67"/>
    </row>
    <row r="572" spans="1:21" x14ac:dyDescent="0.25">
      <c r="A572" s="60">
        <f t="shared" si="53"/>
        <v>544</v>
      </c>
      <c r="B572" s="61">
        <f t="shared" si="54"/>
        <v>86</v>
      </c>
      <c r="C572" s="62" t="s">
        <v>82</v>
      </c>
      <c r="D572" s="62" t="s">
        <v>641</v>
      </c>
      <c r="E572" s="63">
        <f t="shared" si="55"/>
        <v>3864534.0027733012</v>
      </c>
      <c r="F572" s="64"/>
      <c r="G572" s="64">
        <v>0</v>
      </c>
      <c r="H572" s="64">
        <v>3471938.1437459388</v>
      </c>
      <c r="I572" s="64"/>
      <c r="J572" s="64">
        <v>0</v>
      </c>
      <c r="K572" s="64"/>
      <c r="L572" s="64"/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/>
      <c r="S572" s="65"/>
      <c r="T572" s="66">
        <v>392595.8590273626</v>
      </c>
      <c r="U572" s="67"/>
    </row>
    <row r="573" spans="1:21" x14ac:dyDescent="0.25">
      <c r="A573" s="60">
        <f t="shared" si="53"/>
        <v>545</v>
      </c>
      <c r="B573" s="61">
        <f t="shared" si="54"/>
        <v>87</v>
      </c>
      <c r="C573" s="62" t="s">
        <v>82</v>
      </c>
      <c r="D573" s="62" t="s">
        <v>338</v>
      </c>
      <c r="E573" s="63">
        <f t="shared" si="55"/>
        <v>3869781.6704977094</v>
      </c>
      <c r="F573" s="64"/>
      <c r="G573" s="64">
        <v>0</v>
      </c>
      <c r="H573" s="64">
        <v>3475648.0455939346</v>
      </c>
      <c r="I573" s="64"/>
      <c r="J573" s="64">
        <v>0</v>
      </c>
      <c r="K573" s="64"/>
      <c r="L573" s="64"/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/>
      <c r="S573" s="65"/>
      <c r="T573" s="66">
        <v>394133.62490377499</v>
      </c>
      <c r="U573" s="67"/>
    </row>
    <row r="574" spans="1:21" x14ac:dyDescent="0.25">
      <c r="A574" s="60">
        <f t="shared" si="53"/>
        <v>546</v>
      </c>
      <c r="B574" s="61">
        <f t="shared" si="54"/>
        <v>88</v>
      </c>
      <c r="C574" s="62" t="s">
        <v>82</v>
      </c>
      <c r="D574" s="62" t="s">
        <v>339</v>
      </c>
      <c r="E574" s="88">
        <f t="shared" si="55"/>
        <v>40235267.283999994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/>
      <c r="L574" s="64"/>
      <c r="M574" s="64">
        <v>0</v>
      </c>
      <c r="N574" s="64">
        <v>0</v>
      </c>
      <c r="O574" s="64">
        <v>0</v>
      </c>
      <c r="P574" s="64">
        <v>39374232.564122394</v>
      </c>
      <c r="Q574" s="64">
        <v>0</v>
      </c>
      <c r="R574" s="64"/>
      <c r="S574" s="64"/>
      <c r="T574" s="66">
        <v>861034.71987759997</v>
      </c>
      <c r="U574" s="67"/>
    </row>
    <row r="575" spans="1:21" x14ac:dyDescent="0.25">
      <c r="A575" s="60">
        <f t="shared" si="53"/>
        <v>547</v>
      </c>
      <c r="B575" s="61">
        <f t="shared" si="54"/>
        <v>89</v>
      </c>
      <c r="C575" s="62" t="s">
        <v>82</v>
      </c>
      <c r="D575" s="62" t="s">
        <v>667</v>
      </c>
      <c r="E575" s="88">
        <f t="shared" si="55"/>
        <v>22869459.649612498</v>
      </c>
      <c r="F575" s="64">
        <v>13891614.286531055</v>
      </c>
      <c r="G575" s="64">
        <v>0</v>
      </c>
      <c r="H575" s="64">
        <v>4086844.0734241777</v>
      </c>
      <c r="I575" s="64">
        <v>3952915.9264954804</v>
      </c>
      <c r="J575" s="64">
        <v>0</v>
      </c>
      <c r="K575" s="64"/>
      <c r="L575" s="64">
        <v>448678.92666007631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/>
      <c r="S575" s="65"/>
      <c r="T575" s="66">
        <v>489406.43650170736</v>
      </c>
      <c r="U575" s="67"/>
    </row>
    <row r="576" spans="1:21" x14ac:dyDescent="0.25">
      <c r="A576" s="60">
        <f t="shared" si="53"/>
        <v>548</v>
      </c>
      <c r="B576" s="61">
        <f t="shared" si="54"/>
        <v>90</v>
      </c>
      <c r="C576" s="62" t="s">
        <v>82</v>
      </c>
      <c r="D576" s="62" t="s">
        <v>1128</v>
      </c>
      <c r="E576" s="88">
        <f t="shared" si="55"/>
        <v>12522293.548031038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/>
      <c r="L576" s="64"/>
      <c r="M576" s="64">
        <v>0</v>
      </c>
      <c r="N576" s="64">
        <v>0</v>
      </c>
      <c r="O576" s="64">
        <v>0</v>
      </c>
      <c r="P576" s="64">
        <v>12254316.466103174</v>
      </c>
      <c r="Q576" s="64">
        <v>0</v>
      </c>
      <c r="R576" s="64"/>
      <c r="S576" s="65"/>
      <c r="T576" s="66">
        <v>267977.08192786423</v>
      </c>
      <c r="U576" s="67"/>
    </row>
    <row r="577" spans="1:21" x14ac:dyDescent="0.25">
      <c r="A577" s="60">
        <f t="shared" si="53"/>
        <v>549</v>
      </c>
      <c r="B577" s="61">
        <f t="shared" si="54"/>
        <v>91</v>
      </c>
      <c r="C577" s="62" t="s">
        <v>82</v>
      </c>
      <c r="D577" s="62" t="s">
        <v>642</v>
      </c>
      <c r="E577" s="63">
        <f>SUBTOTAL(9,F577:T577)</f>
        <v>12897116.892575137</v>
      </c>
      <c r="F577" s="64"/>
      <c r="G577" s="64"/>
      <c r="H577" s="64"/>
      <c r="I577" s="64"/>
      <c r="J577" s="64"/>
      <c r="K577" s="64"/>
      <c r="L577" s="64"/>
      <c r="M577" s="64"/>
      <c r="N577" s="64"/>
      <c r="O577" s="64">
        <v>11232795.546055887</v>
      </c>
      <c r="P577" s="64"/>
      <c r="Q577" s="64"/>
      <c r="R577" s="64">
        <v>1289711.6892575137</v>
      </c>
      <c r="S577" s="65">
        <v>128971.16892575138</v>
      </c>
      <c r="T577" s="66">
        <v>245638.4883359861</v>
      </c>
      <c r="U577" s="67"/>
    </row>
    <row r="578" spans="1:21" x14ac:dyDescent="0.25">
      <c r="A578" s="60">
        <f t="shared" si="53"/>
        <v>550</v>
      </c>
      <c r="B578" s="61">
        <f t="shared" si="54"/>
        <v>92</v>
      </c>
      <c r="C578" s="62" t="s">
        <v>82</v>
      </c>
      <c r="D578" s="62" t="s">
        <v>1129</v>
      </c>
      <c r="E578" s="63">
        <f>SUBTOTAL(9,F578:T578)</f>
        <v>13360777.961205171</v>
      </c>
      <c r="F578" s="64"/>
      <c r="G578" s="64"/>
      <c r="H578" s="64"/>
      <c r="I578" s="64"/>
      <c r="J578" s="64"/>
      <c r="K578" s="64"/>
      <c r="L578" s="64"/>
      <c r="M578" s="64"/>
      <c r="N578" s="64"/>
      <c r="O578" s="64">
        <v>11636623.008423489</v>
      </c>
      <c r="P578" s="64"/>
      <c r="Q578" s="64"/>
      <c r="R578" s="64">
        <v>1336077.7961205172</v>
      </c>
      <c r="S578" s="65">
        <v>133607.77961205173</v>
      </c>
      <c r="T578" s="66">
        <v>254469.37704911374</v>
      </c>
      <c r="U578" s="67"/>
    </row>
    <row r="579" spans="1:21" x14ac:dyDescent="0.25">
      <c r="A579" s="60">
        <f t="shared" si="53"/>
        <v>551</v>
      </c>
      <c r="B579" s="61">
        <f t="shared" si="54"/>
        <v>93</v>
      </c>
      <c r="C579" s="62" t="s">
        <v>82</v>
      </c>
      <c r="D579" s="62" t="s">
        <v>635</v>
      </c>
      <c r="E579" s="88">
        <f t="shared" si="55"/>
        <v>16126771.316431092</v>
      </c>
      <c r="F579" s="64">
        <v>8180916.3093257621</v>
      </c>
      <c r="G579" s="64">
        <v>3273146.7724719895</v>
      </c>
      <c r="H579" s="64">
        <v>2417539.3161607608</v>
      </c>
      <c r="I579" s="64">
        <v>1544918.4530306687</v>
      </c>
      <c r="J579" s="64">
        <v>0</v>
      </c>
      <c r="K579" s="64"/>
      <c r="L579" s="64">
        <v>365137.5592702846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/>
      <c r="S579" s="65"/>
      <c r="T579" s="66">
        <v>345112.90617162542</v>
      </c>
      <c r="U579" s="67"/>
    </row>
    <row r="580" spans="1:21" x14ac:dyDescent="0.25">
      <c r="A580" s="60">
        <f t="shared" si="53"/>
        <v>552</v>
      </c>
      <c r="B580" s="61">
        <f t="shared" si="54"/>
        <v>94</v>
      </c>
      <c r="C580" s="62" t="s">
        <v>82</v>
      </c>
      <c r="D580" s="62" t="s">
        <v>668</v>
      </c>
      <c r="E580" s="88">
        <f t="shared" si="55"/>
        <v>9780000</v>
      </c>
      <c r="F580" s="64"/>
      <c r="G580" s="64"/>
      <c r="H580" s="64"/>
      <c r="I580" s="64"/>
      <c r="J580" s="64"/>
      <c r="K580" s="64"/>
      <c r="L580" s="64"/>
      <c r="M580" s="64">
        <v>9062814.5999999996</v>
      </c>
      <c r="N580" s="64"/>
      <c r="O580" s="64"/>
      <c r="P580" s="64"/>
      <c r="Q580" s="64"/>
      <c r="R580" s="64">
        <v>489000</v>
      </c>
      <c r="S580" s="65">
        <v>30000</v>
      </c>
      <c r="T580" s="66">
        <v>198185.4</v>
      </c>
      <c r="U580" s="67"/>
    </row>
    <row r="581" spans="1:21" x14ac:dyDescent="0.25">
      <c r="A581" s="60">
        <f t="shared" si="53"/>
        <v>553</v>
      </c>
      <c r="B581" s="61">
        <f t="shared" si="54"/>
        <v>95</v>
      </c>
      <c r="C581" s="62" t="s">
        <v>82</v>
      </c>
      <c r="D581" s="62" t="s">
        <v>1130</v>
      </c>
      <c r="E581" s="88">
        <f t="shared" si="55"/>
        <v>12697410.808104584</v>
      </c>
      <c r="F581" s="64">
        <v>7935557.2128255023</v>
      </c>
      <c r="G581" s="64">
        <v>0</v>
      </c>
      <c r="H581" s="64">
        <v>2345033.3473989377</v>
      </c>
      <c r="I581" s="64">
        <v>1498583.8150182886</v>
      </c>
      <c r="J581" s="64">
        <v>0</v>
      </c>
      <c r="K581" s="64"/>
      <c r="L581" s="64">
        <v>354186.48505641689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298717.92</v>
      </c>
      <c r="S581" s="65"/>
      <c r="T581" s="66">
        <v>265332.02780543809</v>
      </c>
      <c r="U581" s="67"/>
    </row>
    <row r="582" spans="1:21" x14ac:dyDescent="0.25">
      <c r="A582" s="60">
        <f t="shared" si="53"/>
        <v>554</v>
      </c>
      <c r="B582" s="61">
        <f t="shared" si="54"/>
        <v>96</v>
      </c>
      <c r="C582" s="62" t="s">
        <v>82</v>
      </c>
      <c r="D582" s="62" t="s">
        <v>644</v>
      </c>
      <c r="E582" s="63">
        <f>SUBTOTAL(9,F582:T582)</f>
        <v>13240318.747869601</v>
      </c>
      <c r="F582" s="64">
        <v>8101220.3263461273</v>
      </c>
      <c r="G582" s="64">
        <v>0</v>
      </c>
      <c r="H582" s="64">
        <v>2455002.5149674504</v>
      </c>
      <c r="I582" s="64">
        <v>1423274.5415996145</v>
      </c>
      <c r="J582" s="64"/>
      <c r="K582" s="64"/>
      <c r="L582" s="64">
        <v>295198.03432807833</v>
      </c>
      <c r="M582" s="64"/>
      <c r="N582" s="64"/>
      <c r="O582" s="64"/>
      <c r="P582" s="64"/>
      <c r="Q582" s="64"/>
      <c r="R582" s="64">
        <v>696095.60690659576</v>
      </c>
      <c r="S582" s="65"/>
      <c r="T582" s="66">
        <v>269527.72372173303</v>
      </c>
      <c r="U582" s="67"/>
    </row>
    <row r="583" spans="1:21" x14ac:dyDescent="0.25">
      <c r="A583" s="60">
        <f t="shared" si="53"/>
        <v>555</v>
      </c>
      <c r="B583" s="61">
        <f t="shared" si="54"/>
        <v>97</v>
      </c>
      <c r="C583" s="62" t="s">
        <v>82</v>
      </c>
      <c r="D583" s="62" t="s">
        <v>669</v>
      </c>
      <c r="E583" s="88">
        <f t="shared" si="55"/>
        <v>3591360</v>
      </c>
      <c r="F583" s="64"/>
      <c r="G583" s="64"/>
      <c r="H583" s="64"/>
      <c r="I583" s="64"/>
      <c r="J583" s="64"/>
      <c r="K583" s="64"/>
      <c r="L583" s="64"/>
      <c r="M583" s="64">
        <v>3388344.6460698778</v>
      </c>
      <c r="N583" s="64"/>
      <c r="O583" s="64"/>
      <c r="P583" s="64"/>
      <c r="Q583" s="64"/>
      <c r="R583" s="103">
        <v>104919.11907839999</v>
      </c>
      <c r="S583" s="65">
        <v>24000</v>
      </c>
      <c r="T583" s="66">
        <v>74096.234851722242</v>
      </c>
      <c r="U583" s="67"/>
    </row>
    <row r="584" spans="1:21" x14ac:dyDescent="0.25">
      <c r="A584" s="60">
        <f t="shared" si="53"/>
        <v>556</v>
      </c>
      <c r="B584" s="61">
        <f t="shared" si="54"/>
        <v>98</v>
      </c>
      <c r="C584" s="62" t="s">
        <v>82</v>
      </c>
      <c r="D584" s="62" t="s">
        <v>645</v>
      </c>
      <c r="E584" s="63">
        <f>SUBTOTAL(9,F584:T584)</f>
        <v>14431106.140762853</v>
      </c>
      <c r="F584" s="64">
        <v>8116513.1086183758</v>
      </c>
      <c r="G584" s="64">
        <v>0</v>
      </c>
      <c r="H584" s="64">
        <v>0</v>
      </c>
      <c r="I584" s="64">
        <v>0</v>
      </c>
      <c r="J584" s="64">
        <v>0</v>
      </c>
      <c r="K584" s="64"/>
      <c r="L584" s="64">
        <v>362263.06127686513</v>
      </c>
      <c r="M584" s="64">
        <v>0</v>
      </c>
      <c r="N584" s="64">
        <v>0</v>
      </c>
      <c r="O584" s="64">
        <v>5643504.2994552879</v>
      </c>
      <c r="P584" s="64">
        <v>0</v>
      </c>
      <c r="Q584" s="64">
        <v>0</v>
      </c>
      <c r="R584" s="64"/>
      <c r="S584" s="65"/>
      <c r="T584" s="66">
        <v>308825.67141232511</v>
      </c>
      <c r="U584" s="67"/>
    </row>
    <row r="585" spans="1:21" x14ac:dyDescent="0.25">
      <c r="A585" s="60">
        <f t="shared" si="53"/>
        <v>557</v>
      </c>
      <c r="B585" s="61">
        <f t="shared" si="54"/>
        <v>99</v>
      </c>
      <c r="C585" s="62" t="s">
        <v>82</v>
      </c>
      <c r="D585" s="62" t="s">
        <v>670</v>
      </c>
      <c r="E585" s="88">
        <f t="shared" si="55"/>
        <v>7182720</v>
      </c>
      <c r="F585" s="64"/>
      <c r="G585" s="64"/>
      <c r="H585" s="64"/>
      <c r="I585" s="64"/>
      <c r="J585" s="64"/>
      <c r="K585" s="64"/>
      <c r="L585" s="64"/>
      <c r="M585" s="64">
        <v>6868490.3575085625</v>
      </c>
      <c r="N585" s="64"/>
      <c r="O585" s="64"/>
      <c r="P585" s="64"/>
      <c r="Q585" s="64"/>
      <c r="R585" s="103">
        <v>140029.66941696001</v>
      </c>
      <c r="S585" s="65">
        <v>24000</v>
      </c>
      <c r="T585" s="66">
        <v>150199.97307447705</v>
      </c>
      <c r="U585" s="67"/>
    </row>
    <row r="586" spans="1:21" x14ac:dyDescent="0.25">
      <c r="A586" s="60">
        <f t="shared" si="53"/>
        <v>558</v>
      </c>
      <c r="B586" s="61">
        <f t="shared" si="54"/>
        <v>100</v>
      </c>
      <c r="C586" s="62" t="s">
        <v>52</v>
      </c>
      <c r="D586" s="62" t="s">
        <v>735</v>
      </c>
      <c r="E586" s="88">
        <f t="shared" si="55"/>
        <v>3923178.2059999998</v>
      </c>
      <c r="F586" s="64">
        <v>0</v>
      </c>
      <c r="G586" s="64">
        <v>0</v>
      </c>
      <c r="H586" s="64">
        <v>3847595.2246995438</v>
      </c>
      <c r="I586" s="64">
        <v>0</v>
      </c>
      <c r="J586" s="64">
        <v>0</v>
      </c>
      <c r="K586" s="64"/>
      <c r="L586" s="64"/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103"/>
      <c r="S586" s="64"/>
      <c r="T586" s="66">
        <v>75582.981300455998</v>
      </c>
      <c r="U586" s="67"/>
    </row>
    <row r="587" spans="1:21" x14ac:dyDescent="0.25">
      <c r="A587" s="60">
        <f t="shared" si="53"/>
        <v>559</v>
      </c>
      <c r="B587" s="61">
        <f t="shared" si="54"/>
        <v>101</v>
      </c>
      <c r="C587" s="62" t="s">
        <v>52</v>
      </c>
      <c r="D587" s="62" t="s">
        <v>740</v>
      </c>
      <c r="E587" s="88">
        <f t="shared" si="55"/>
        <v>29897350</v>
      </c>
      <c r="F587" s="64"/>
      <c r="G587" s="64"/>
      <c r="H587" s="64"/>
      <c r="I587" s="64"/>
      <c r="J587" s="64"/>
      <c r="K587" s="64"/>
      <c r="L587" s="64"/>
      <c r="M587" s="64">
        <v>28087244.841600001</v>
      </c>
      <c r="N587" s="64"/>
      <c r="O587" s="64"/>
      <c r="P587" s="64"/>
      <c r="Q587" s="64"/>
      <c r="R587" s="64">
        <v>896920.5</v>
      </c>
      <c r="S587" s="65">
        <v>298973.5</v>
      </c>
      <c r="T587" s="66">
        <v>614211.15840000007</v>
      </c>
      <c r="U587" s="67"/>
    </row>
    <row r="588" spans="1:21" x14ac:dyDescent="0.25">
      <c r="A588" s="60">
        <f t="shared" si="53"/>
        <v>560</v>
      </c>
      <c r="B588" s="61">
        <f t="shared" si="54"/>
        <v>102</v>
      </c>
      <c r="C588" s="62" t="s">
        <v>52</v>
      </c>
      <c r="D588" s="62" t="s">
        <v>742</v>
      </c>
      <c r="E588" s="88">
        <f t="shared" si="55"/>
        <v>14904523.749627801</v>
      </c>
      <c r="F588" s="64">
        <v>13616559.511674002</v>
      </c>
      <c r="G588" s="64"/>
      <c r="H588" s="64"/>
      <c r="I588" s="64"/>
      <c r="J588" s="64"/>
      <c r="K588" s="64"/>
      <c r="L588" s="64">
        <v>488558.85729000001</v>
      </c>
      <c r="M588" s="64">
        <v>0</v>
      </c>
      <c r="N588" s="64"/>
      <c r="O588" s="64">
        <v>0</v>
      </c>
      <c r="P588" s="64">
        <v>0</v>
      </c>
      <c r="Q588" s="64">
        <v>0</v>
      </c>
      <c r="R588" s="64">
        <v>596430.70650000009</v>
      </c>
      <c r="S588" s="64">
        <v>24992.426500000001</v>
      </c>
      <c r="T588" s="66">
        <v>177982.24766380002</v>
      </c>
      <c r="U588" s="67"/>
    </row>
    <row r="589" spans="1:21" s="74" customFormat="1" x14ac:dyDescent="0.25">
      <c r="A589" s="60">
        <f t="shared" si="53"/>
        <v>561</v>
      </c>
      <c r="B589" s="61">
        <f t="shared" si="54"/>
        <v>103</v>
      </c>
      <c r="C589" s="62" t="s">
        <v>52</v>
      </c>
      <c r="D589" s="62" t="s">
        <v>709</v>
      </c>
      <c r="E589" s="63">
        <f t="shared" si="55"/>
        <v>1171216.6200000001</v>
      </c>
      <c r="F589" s="63"/>
      <c r="G589" s="63">
        <v>1171216.6200000001</v>
      </c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90"/>
      <c r="U589" s="67"/>
    </row>
    <row r="590" spans="1:21" x14ac:dyDescent="0.25">
      <c r="A590" s="60">
        <f t="shared" si="53"/>
        <v>562</v>
      </c>
      <c r="B590" s="61">
        <f t="shared" si="54"/>
        <v>104</v>
      </c>
      <c r="C590" s="62" t="s">
        <v>52</v>
      </c>
      <c r="D590" s="62" t="s">
        <v>688</v>
      </c>
      <c r="E590" s="63">
        <f t="shared" si="55"/>
        <v>5223518.5269052126</v>
      </c>
      <c r="F590" s="64"/>
      <c r="G590" s="64">
        <v>2457065.2679873998</v>
      </c>
      <c r="H590" s="64"/>
      <c r="I590" s="64">
        <v>2053849.9317419997</v>
      </c>
      <c r="J590" s="64">
        <v>631577.05000000005</v>
      </c>
      <c r="K590" s="64"/>
      <c r="L590" s="64"/>
      <c r="M590" s="64"/>
      <c r="N590" s="64"/>
      <c r="O590" s="64">
        <v>0</v>
      </c>
      <c r="P590" s="64">
        <v>0</v>
      </c>
      <c r="Q590" s="64">
        <v>0</v>
      </c>
      <c r="R590" s="64"/>
      <c r="S590" s="65"/>
      <c r="T590" s="66">
        <v>81026.277175813244</v>
      </c>
      <c r="U590" s="67"/>
    </row>
    <row r="591" spans="1:21" x14ac:dyDescent="0.25">
      <c r="A591" s="60">
        <f t="shared" si="53"/>
        <v>563</v>
      </c>
      <c r="B591" s="61">
        <f t="shared" si="54"/>
        <v>105</v>
      </c>
      <c r="C591" s="62" t="s">
        <v>52</v>
      </c>
      <c r="D591" s="62" t="s">
        <v>1014</v>
      </c>
      <c r="E591" s="63">
        <f t="shared" si="55"/>
        <v>5106151.2342166202</v>
      </c>
      <c r="F591" s="64"/>
      <c r="G591" s="64"/>
      <c r="H591" s="64"/>
      <c r="I591" s="64"/>
      <c r="J591" s="64">
        <v>0</v>
      </c>
      <c r="K591" s="64"/>
      <c r="L591" s="64"/>
      <c r="M591" s="64">
        <v>0</v>
      </c>
      <c r="N591" s="64">
        <v>4215079.9000000004</v>
      </c>
      <c r="O591" s="64">
        <v>0</v>
      </c>
      <c r="P591" s="64"/>
      <c r="Q591" s="64">
        <v>0</v>
      </c>
      <c r="R591" s="64"/>
      <c r="S591" s="65"/>
      <c r="T591" s="66">
        <v>891071.33421662007</v>
      </c>
      <c r="U591" s="67"/>
    </row>
    <row r="592" spans="1:21" x14ac:dyDescent="0.25">
      <c r="A592" s="60">
        <f t="shared" si="53"/>
        <v>564</v>
      </c>
      <c r="B592" s="61">
        <f t="shared" si="54"/>
        <v>106</v>
      </c>
      <c r="C592" s="62" t="s">
        <v>52</v>
      </c>
      <c r="D592" s="62" t="s">
        <v>744</v>
      </c>
      <c r="E592" s="88">
        <f t="shared" si="55"/>
        <v>5182411.8588525197</v>
      </c>
      <c r="F592" s="64">
        <v>0</v>
      </c>
      <c r="G592" s="64">
        <v>0</v>
      </c>
      <c r="H592" s="64">
        <v>0</v>
      </c>
      <c r="I592" s="64">
        <v>0</v>
      </c>
      <c r="J592" s="64">
        <v>0</v>
      </c>
      <c r="K592" s="64"/>
      <c r="L592" s="64"/>
      <c r="M592" s="64">
        <v>0</v>
      </c>
      <c r="N592" s="64">
        <v>0</v>
      </c>
      <c r="O592" s="64">
        <v>0</v>
      </c>
      <c r="P592" s="64">
        <v>5075422.58</v>
      </c>
      <c r="Q592" s="64">
        <v>0</v>
      </c>
      <c r="R592" s="64"/>
      <c r="S592" s="65"/>
      <c r="T592" s="66">
        <v>106989.27885251999</v>
      </c>
      <c r="U592" s="67"/>
    </row>
    <row r="593" spans="1:21" x14ac:dyDescent="0.25">
      <c r="A593" s="60">
        <f t="shared" si="53"/>
        <v>565</v>
      </c>
      <c r="B593" s="61">
        <f t="shared" si="54"/>
        <v>107</v>
      </c>
      <c r="C593" s="62" t="s">
        <v>52</v>
      </c>
      <c r="D593" s="62" t="s">
        <v>1131</v>
      </c>
      <c r="E593" s="88">
        <f t="shared" si="55"/>
        <v>2062369.2205299998</v>
      </c>
      <c r="F593" s="64">
        <v>0</v>
      </c>
      <c r="G593" s="64">
        <v>0</v>
      </c>
      <c r="H593" s="64">
        <v>0</v>
      </c>
      <c r="I593" s="64">
        <v>0</v>
      </c>
      <c r="J593" s="64">
        <v>2028592.66</v>
      </c>
      <c r="K593" s="64"/>
      <c r="L593" s="64"/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/>
      <c r="S593" s="65"/>
      <c r="T593" s="66">
        <v>33776.560530000002</v>
      </c>
      <c r="U593" s="67"/>
    </row>
    <row r="594" spans="1:21" x14ac:dyDescent="0.25">
      <c r="A594" s="60">
        <f t="shared" si="53"/>
        <v>566</v>
      </c>
      <c r="B594" s="61">
        <f t="shared" si="54"/>
        <v>108</v>
      </c>
      <c r="C594" s="62" t="s">
        <v>52</v>
      </c>
      <c r="D594" s="62" t="s">
        <v>1076</v>
      </c>
      <c r="E594" s="88">
        <f t="shared" si="55"/>
        <v>8709419.2109200004</v>
      </c>
      <c r="F594" s="64">
        <v>0</v>
      </c>
      <c r="G594" s="64">
        <v>0</v>
      </c>
      <c r="H594" s="64">
        <v>0</v>
      </c>
      <c r="I594" s="64">
        <v>0</v>
      </c>
      <c r="J594" s="64"/>
      <c r="K594" s="64"/>
      <c r="L594" s="64"/>
      <c r="M594" s="64"/>
      <c r="N594" s="64"/>
      <c r="O594" s="64"/>
      <c r="P594" s="64"/>
      <c r="Q594" s="64">
        <v>8518226.9435697012</v>
      </c>
      <c r="R594" s="64"/>
      <c r="S594" s="65"/>
      <c r="T594" s="66">
        <v>191192.26735030001</v>
      </c>
      <c r="U594" s="67"/>
    </row>
    <row r="595" spans="1:21" x14ac:dyDescent="0.25">
      <c r="A595" s="60">
        <f t="shared" si="53"/>
        <v>567</v>
      </c>
      <c r="B595" s="61">
        <f t="shared" si="54"/>
        <v>109</v>
      </c>
      <c r="C595" s="62" t="s">
        <v>52</v>
      </c>
      <c r="D595" s="62" t="s">
        <v>746</v>
      </c>
      <c r="E595" s="88">
        <f t="shared" si="55"/>
        <v>20049347.122655615</v>
      </c>
      <c r="F595" s="64">
        <v>3048488.282036359</v>
      </c>
      <c r="G595" s="64">
        <v>1412219.9147629021</v>
      </c>
      <c r="H595" s="64"/>
      <c r="I595" s="64">
        <v>1138276.2887638803</v>
      </c>
      <c r="J595" s="64">
        <v>498007.81255247578</v>
      </c>
      <c r="K595" s="64"/>
      <c r="L595" s="64">
        <v>112672.74739903695</v>
      </c>
      <c r="M595" s="64">
        <v>0</v>
      </c>
      <c r="N595" s="64"/>
      <c r="O595" s="64">
        <v>0</v>
      </c>
      <c r="P595" s="64">
        <v>8439609.2549422495</v>
      </c>
      <c r="Q595" s="64">
        <v>3575292.6815462569</v>
      </c>
      <c r="R595" s="64">
        <v>1430573.4817158235</v>
      </c>
      <c r="S595" s="65"/>
      <c r="T595" s="66">
        <v>394206.65893662942</v>
      </c>
      <c r="U595" s="67"/>
    </row>
    <row r="596" spans="1:21" x14ac:dyDescent="0.25">
      <c r="A596" s="60">
        <f t="shared" si="53"/>
        <v>568</v>
      </c>
      <c r="B596" s="61">
        <f t="shared" si="54"/>
        <v>110</v>
      </c>
      <c r="C596" s="62" t="s">
        <v>52</v>
      </c>
      <c r="D596" s="62" t="s">
        <v>1132</v>
      </c>
      <c r="E596" s="63">
        <f t="shared" si="55"/>
        <v>10674924.839939507</v>
      </c>
      <c r="F596" s="64">
        <v>10082885.3290445</v>
      </c>
      <c r="G596" s="64">
        <v>0</v>
      </c>
      <c r="H596" s="64">
        <v>0</v>
      </c>
      <c r="I596" s="64">
        <v>0</v>
      </c>
      <c r="J596" s="64">
        <v>0</v>
      </c>
      <c r="K596" s="64"/>
      <c r="L596" s="64">
        <v>363596.11932030058</v>
      </c>
      <c r="M596" s="64">
        <v>0</v>
      </c>
      <c r="N596" s="64"/>
      <c r="O596" s="64">
        <v>0</v>
      </c>
      <c r="P596" s="64"/>
      <c r="Q596" s="64">
        <v>0</v>
      </c>
      <c r="R596" s="64"/>
      <c r="S596" s="65"/>
      <c r="T596" s="66">
        <v>228443.39157470543</v>
      </c>
      <c r="U596" s="67"/>
    </row>
    <row r="597" spans="1:21" x14ac:dyDescent="0.25">
      <c r="A597" s="60">
        <f t="shared" si="53"/>
        <v>569</v>
      </c>
      <c r="B597" s="61">
        <f t="shared" si="54"/>
        <v>111</v>
      </c>
      <c r="C597" s="62" t="s">
        <v>52</v>
      </c>
      <c r="D597" s="62" t="s">
        <v>1133</v>
      </c>
      <c r="E597" s="88">
        <f t="shared" si="55"/>
        <v>1090383.0156</v>
      </c>
      <c r="F597" s="64">
        <v>0</v>
      </c>
      <c r="G597" s="64">
        <v>0</v>
      </c>
      <c r="H597" s="64">
        <v>0</v>
      </c>
      <c r="I597" s="64">
        <v>0</v>
      </c>
      <c r="J597" s="64">
        <v>1067048.8190661601</v>
      </c>
      <c r="K597" s="64"/>
      <c r="L597" s="64"/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/>
      <c r="S597" s="65"/>
      <c r="T597" s="66">
        <v>23334.19653384</v>
      </c>
      <c r="U597" s="67"/>
    </row>
    <row r="598" spans="1:21" x14ac:dyDescent="0.25">
      <c r="A598" s="60">
        <f t="shared" si="53"/>
        <v>570</v>
      </c>
      <c r="B598" s="61">
        <f t="shared" si="54"/>
        <v>112</v>
      </c>
      <c r="C598" s="62" t="s">
        <v>52</v>
      </c>
      <c r="D598" s="62" t="s">
        <v>691</v>
      </c>
      <c r="E598" s="88">
        <f t="shared" si="55"/>
        <v>29566591.758568872</v>
      </c>
      <c r="F598" s="64">
        <v>6531079.8989818199</v>
      </c>
      <c r="G598" s="64">
        <v>0</v>
      </c>
      <c r="H598" s="64">
        <v>0</v>
      </c>
      <c r="I598" s="64">
        <v>0</v>
      </c>
      <c r="J598" s="64"/>
      <c r="K598" s="64"/>
      <c r="L598" s="64">
        <v>250556.9266902724</v>
      </c>
      <c r="M598" s="64">
        <v>0</v>
      </c>
      <c r="N598" s="64">
        <v>14196898.848430499</v>
      </c>
      <c r="O598" s="64">
        <v>0</v>
      </c>
      <c r="P598" s="64">
        <v>0</v>
      </c>
      <c r="Q598" s="64">
        <v>7950585.8069997653</v>
      </c>
      <c r="R598" s="64"/>
      <c r="S598" s="65"/>
      <c r="T598" s="66">
        <v>637470.27746651554</v>
      </c>
      <c r="U598" s="67"/>
    </row>
    <row r="599" spans="1:21" x14ac:dyDescent="0.25">
      <c r="A599" s="60">
        <f t="shared" si="53"/>
        <v>571</v>
      </c>
      <c r="B599" s="61">
        <f t="shared" si="54"/>
        <v>113</v>
      </c>
      <c r="C599" s="62" t="s">
        <v>52</v>
      </c>
      <c r="D599" s="62" t="s">
        <v>747</v>
      </c>
      <c r="E599" s="88">
        <f t="shared" si="55"/>
        <v>5937258.6775746234</v>
      </c>
      <c r="F599" s="64">
        <v>3811453.2757858438</v>
      </c>
      <c r="G599" s="64">
        <v>1833049.737318072</v>
      </c>
      <c r="H599" s="64">
        <v>0</v>
      </c>
      <c r="I599" s="64">
        <v>0</v>
      </c>
      <c r="J599" s="64"/>
      <c r="K599" s="64"/>
      <c r="L599" s="64">
        <v>146248.29168861095</v>
      </c>
      <c r="M599" s="64">
        <v>0</v>
      </c>
      <c r="N599" s="64">
        <v>0</v>
      </c>
      <c r="O599" s="64">
        <v>0</v>
      </c>
      <c r="P599" s="64">
        <v>0</v>
      </c>
      <c r="Q599" s="64">
        <v>0</v>
      </c>
      <c r="R599" s="64">
        <v>19875.37</v>
      </c>
      <c r="S599" s="65"/>
      <c r="T599" s="66">
        <v>126632.00278209694</v>
      </c>
      <c r="U599" s="67"/>
    </row>
    <row r="600" spans="1:21" x14ac:dyDescent="0.25">
      <c r="A600" s="60">
        <f t="shared" si="53"/>
        <v>572</v>
      </c>
      <c r="B600" s="61">
        <f t="shared" si="54"/>
        <v>114</v>
      </c>
      <c r="C600" s="62" t="s">
        <v>52</v>
      </c>
      <c r="D600" s="62" t="s">
        <v>1134</v>
      </c>
      <c r="E600" s="88">
        <f t="shared" si="55"/>
        <v>63653920.28714864</v>
      </c>
      <c r="F600" s="64">
        <v>6426692.686332548</v>
      </c>
      <c r="G600" s="64">
        <v>3800269.7376763392</v>
      </c>
      <c r="H600" s="64">
        <v>4017145.7248026631</v>
      </c>
      <c r="I600" s="64">
        <v>3169959.5700291172</v>
      </c>
      <c r="J600" s="64"/>
      <c r="K600" s="64"/>
      <c r="L600" s="64">
        <v>296539.21750752005</v>
      </c>
      <c r="M600" s="64"/>
      <c r="N600" s="64">
        <v>11567597.727553921</v>
      </c>
      <c r="O600" s="64"/>
      <c r="P600" s="64">
        <v>22710934.820187993</v>
      </c>
      <c r="Q600" s="64">
        <v>8931908.6262431983</v>
      </c>
      <c r="R600" s="64">
        <v>1439566.8121816446</v>
      </c>
      <c r="S600" s="65"/>
      <c r="T600" s="66">
        <v>1293305.364633698</v>
      </c>
      <c r="U600" s="67"/>
    </row>
    <row r="601" spans="1:21" x14ac:dyDescent="0.25">
      <c r="A601" s="60">
        <f t="shared" si="53"/>
        <v>573</v>
      </c>
      <c r="B601" s="61">
        <f t="shared" si="54"/>
        <v>115</v>
      </c>
      <c r="C601" s="62" t="s">
        <v>52</v>
      </c>
      <c r="D601" s="62" t="s">
        <v>748</v>
      </c>
      <c r="E601" s="88">
        <f t="shared" si="55"/>
        <v>6635666.7163887154</v>
      </c>
      <c r="F601" s="64"/>
      <c r="G601" s="64"/>
      <c r="H601" s="64"/>
      <c r="I601" s="64">
        <v>3159390.0048404401</v>
      </c>
      <c r="J601" s="64">
        <v>1459023.889443727</v>
      </c>
      <c r="K601" s="64"/>
      <c r="L601" s="64"/>
      <c r="M601" s="64">
        <v>0</v>
      </c>
      <c r="N601" s="64"/>
      <c r="O601" s="64">
        <v>0</v>
      </c>
      <c r="P601" s="64">
        <v>0</v>
      </c>
      <c r="Q601" s="64">
        <v>0</v>
      </c>
      <c r="R601" s="64">
        <v>1231638.8674678032</v>
      </c>
      <c r="S601" s="65">
        <v>24000</v>
      </c>
      <c r="T601" s="66">
        <v>761613.95463674469</v>
      </c>
      <c r="U601" s="67"/>
    </row>
    <row r="602" spans="1:21" x14ac:dyDescent="0.25">
      <c r="A602" s="60">
        <f t="shared" si="53"/>
        <v>574</v>
      </c>
      <c r="B602" s="61">
        <f t="shared" si="54"/>
        <v>116</v>
      </c>
      <c r="C602" s="62" t="s">
        <v>52</v>
      </c>
      <c r="D602" s="62" t="s">
        <v>1078</v>
      </c>
      <c r="E602" s="88">
        <f t="shared" si="55"/>
        <v>4203475.2601596015</v>
      </c>
      <c r="F602" s="64"/>
      <c r="G602" s="64"/>
      <c r="H602" s="64"/>
      <c r="I602" s="64"/>
      <c r="J602" s="64">
        <v>1373738.52</v>
      </c>
      <c r="K602" s="64"/>
      <c r="L602" s="64"/>
      <c r="M602" s="64">
        <v>0</v>
      </c>
      <c r="N602" s="64">
        <v>0</v>
      </c>
      <c r="O602" s="64">
        <v>0</v>
      </c>
      <c r="P602" s="64">
        <v>0</v>
      </c>
      <c r="Q602" s="64">
        <v>0</v>
      </c>
      <c r="R602" s="64">
        <v>2241354.1289639203</v>
      </c>
      <c r="S602" s="65">
        <v>204049.12125809959</v>
      </c>
      <c r="T602" s="66">
        <v>384333.48993758194</v>
      </c>
      <c r="U602" s="67"/>
    </row>
    <row r="603" spans="1:21" x14ac:dyDescent="0.25">
      <c r="A603" s="60">
        <f t="shared" si="53"/>
        <v>575</v>
      </c>
      <c r="B603" s="61">
        <f t="shared" si="54"/>
        <v>117</v>
      </c>
      <c r="C603" s="62" t="s">
        <v>52</v>
      </c>
      <c r="D603" s="62" t="s">
        <v>749</v>
      </c>
      <c r="E603" s="88">
        <f t="shared" si="55"/>
        <v>36604733.173482612</v>
      </c>
      <c r="F603" s="64"/>
      <c r="G603" s="64">
        <v>2569498.1666174689</v>
      </c>
      <c r="H603" s="64">
        <v>2781035.5982677904</v>
      </c>
      <c r="I603" s="64">
        <v>1702285.7458574688</v>
      </c>
      <c r="J603" s="64">
        <v>1236504.5566667134</v>
      </c>
      <c r="K603" s="64"/>
      <c r="L603" s="64"/>
      <c r="M603" s="64"/>
      <c r="N603" s="64"/>
      <c r="O603" s="64"/>
      <c r="P603" s="64">
        <v>19117612.313414998</v>
      </c>
      <c r="Q603" s="64">
        <v>7647211.0565302186</v>
      </c>
      <c r="R603" s="64">
        <v>1005086.0352408147</v>
      </c>
      <c r="S603" s="65">
        <v>44175.978967199997</v>
      </c>
      <c r="T603" s="66">
        <v>501323.72191994853</v>
      </c>
      <c r="U603" s="67"/>
    </row>
    <row r="604" spans="1:21" x14ac:dyDescent="0.25">
      <c r="A604" s="60">
        <f t="shared" si="53"/>
        <v>576</v>
      </c>
      <c r="B604" s="61">
        <f t="shared" si="54"/>
        <v>118</v>
      </c>
      <c r="C604" s="62" t="s">
        <v>52</v>
      </c>
      <c r="D604" s="62" t="s">
        <v>1019</v>
      </c>
      <c r="E604" s="88">
        <f t="shared" si="55"/>
        <v>6459328.3847494349</v>
      </c>
      <c r="F604" s="64">
        <v>6046174.0700000003</v>
      </c>
      <c r="G604" s="64">
        <v>0</v>
      </c>
      <c r="H604" s="64">
        <v>0</v>
      </c>
      <c r="I604" s="64">
        <v>0</v>
      </c>
      <c r="J604" s="64">
        <v>0</v>
      </c>
      <c r="K604" s="64"/>
      <c r="L604" s="64">
        <v>282605.80883354222</v>
      </c>
      <c r="M604" s="64">
        <v>0</v>
      </c>
      <c r="N604" s="64">
        <v>0</v>
      </c>
      <c r="O604" s="64">
        <v>0</v>
      </c>
      <c r="P604" s="64">
        <v>0</v>
      </c>
      <c r="Q604" s="64">
        <v>0</v>
      </c>
      <c r="R604" s="64"/>
      <c r="S604" s="65"/>
      <c r="T604" s="66">
        <v>130548.50591589263</v>
      </c>
      <c r="U604" s="67"/>
    </row>
    <row r="605" spans="1:21" x14ac:dyDescent="0.25">
      <c r="A605" s="60">
        <f t="shared" si="53"/>
        <v>577</v>
      </c>
      <c r="B605" s="61">
        <f t="shared" si="54"/>
        <v>119</v>
      </c>
      <c r="C605" s="62" t="s">
        <v>52</v>
      </c>
      <c r="D605" s="62" t="s">
        <v>1023</v>
      </c>
      <c r="E605" s="88">
        <f t="shared" si="55"/>
        <v>27247081.125</v>
      </c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>
        <v>23730954.294143248</v>
      </c>
      <c r="Q605" s="64">
        <v>0</v>
      </c>
      <c r="R605" s="64">
        <v>2724708.1125000003</v>
      </c>
      <c r="S605" s="64">
        <v>272470.81125000003</v>
      </c>
      <c r="T605" s="66">
        <v>518947.90710675</v>
      </c>
      <c r="U605" s="67"/>
    </row>
    <row r="606" spans="1:21" x14ac:dyDescent="0.25">
      <c r="A606" s="60">
        <f t="shared" si="53"/>
        <v>578</v>
      </c>
      <c r="B606" s="61">
        <f t="shared" si="54"/>
        <v>120</v>
      </c>
      <c r="C606" s="62" t="s">
        <v>52</v>
      </c>
      <c r="D606" s="62" t="s">
        <v>1082</v>
      </c>
      <c r="E606" s="63">
        <f t="shared" si="55"/>
        <v>25753722.3442409</v>
      </c>
      <c r="F606" s="64">
        <v>0</v>
      </c>
      <c r="G606" s="64"/>
      <c r="H606" s="64"/>
      <c r="I606" s="64"/>
      <c r="J606" s="64"/>
      <c r="K606" s="64"/>
      <c r="L606" s="64"/>
      <c r="M606" s="64">
        <v>0</v>
      </c>
      <c r="N606" s="64">
        <v>0</v>
      </c>
      <c r="O606" s="64">
        <v>0</v>
      </c>
      <c r="P606" s="64">
        <v>25094924.378064241</v>
      </c>
      <c r="Q606" s="64">
        <v>0</v>
      </c>
      <c r="R606" s="64"/>
      <c r="S606" s="65"/>
      <c r="T606" s="66">
        <f>555416.30026576+103381.6659109</f>
        <v>658797.96617666003</v>
      </c>
      <c r="U606" s="67"/>
    </row>
    <row r="607" spans="1:21" x14ac:dyDescent="0.25">
      <c r="A607" s="60">
        <f t="shared" si="53"/>
        <v>579</v>
      </c>
      <c r="B607" s="61">
        <f t="shared" si="54"/>
        <v>121</v>
      </c>
      <c r="C607" s="62" t="s">
        <v>52</v>
      </c>
      <c r="D607" s="62" t="s">
        <v>751</v>
      </c>
      <c r="E607" s="88">
        <f t="shared" si="55"/>
        <v>12813150</v>
      </c>
      <c r="F607" s="64"/>
      <c r="G607" s="64"/>
      <c r="H607" s="64"/>
      <c r="I607" s="64"/>
      <c r="J607" s="64"/>
      <c r="K607" s="64"/>
      <c r="L607" s="64"/>
      <c r="M607" s="64">
        <v>12037390.646400001</v>
      </c>
      <c r="N607" s="64"/>
      <c r="O607" s="64"/>
      <c r="P607" s="64"/>
      <c r="Q607" s="64"/>
      <c r="R607" s="64">
        <v>384394.5</v>
      </c>
      <c r="S607" s="65">
        <v>128131.5</v>
      </c>
      <c r="T607" s="66">
        <v>263233.35360000003</v>
      </c>
      <c r="U607" s="67"/>
    </row>
    <row r="608" spans="1:21" x14ac:dyDescent="0.25">
      <c r="A608" s="60">
        <f t="shared" si="53"/>
        <v>580</v>
      </c>
      <c r="B608" s="61">
        <f t="shared" si="54"/>
        <v>122</v>
      </c>
      <c r="C608" s="62" t="s">
        <v>52</v>
      </c>
      <c r="D608" s="62" t="s">
        <v>753</v>
      </c>
      <c r="E608" s="88">
        <f t="shared" si="55"/>
        <v>2323481.64</v>
      </c>
      <c r="F608" s="64">
        <v>0</v>
      </c>
      <c r="G608" s="64">
        <v>0</v>
      </c>
      <c r="H608" s="64">
        <v>0</v>
      </c>
      <c r="I608" s="64">
        <v>0</v>
      </c>
      <c r="J608" s="64">
        <v>2156118.2507340005</v>
      </c>
      <c r="K608" s="64"/>
      <c r="L608" s="64"/>
      <c r="M608" s="64">
        <v>0</v>
      </c>
      <c r="N608" s="64">
        <v>0</v>
      </c>
      <c r="O608" s="64">
        <v>0</v>
      </c>
      <c r="P608" s="64">
        <v>0</v>
      </c>
      <c r="Q608" s="64">
        <v>0</v>
      </c>
      <c r="R608" s="64">
        <v>114379.29999999999</v>
      </c>
      <c r="S608" s="64">
        <v>5834.15</v>
      </c>
      <c r="T608" s="66">
        <v>47149.939266000009</v>
      </c>
      <c r="U608" s="67"/>
    </row>
    <row r="609" spans="1:21" x14ac:dyDescent="0.25">
      <c r="A609" s="60">
        <f t="shared" si="53"/>
        <v>581</v>
      </c>
      <c r="B609" s="61">
        <f t="shared" si="54"/>
        <v>123</v>
      </c>
      <c r="C609" s="62" t="s">
        <v>52</v>
      </c>
      <c r="D609" s="62" t="s">
        <v>1135</v>
      </c>
      <c r="E609" s="88">
        <f t="shared" si="55"/>
        <v>2308638.1114466325</v>
      </c>
      <c r="F609" s="64">
        <v>0</v>
      </c>
      <c r="G609" s="64">
        <v>0</v>
      </c>
      <c r="H609" s="64">
        <v>0</v>
      </c>
      <c r="I609" s="64">
        <v>0</v>
      </c>
      <c r="J609" s="64">
        <v>2147049.3115136744</v>
      </c>
      <c r="K609" s="64"/>
      <c r="L609" s="64"/>
      <c r="M609" s="64">
        <v>0</v>
      </c>
      <c r="N609" s="64">
        <v>0</v>
      </c>
      <c r="O609" s="64">
        <v>0</v>
      </c>
      <c r="P609" s="64">
        <v>0</v>
      </c>
      <c r="Q609" s="64">
        <v>0</v>
      </c>
      <c r="R609" s="64">
        <v>107698.68</v>
      </c>
      <c r="S609" s="64">
        <v>6938.5</v>
      </c>
      <c r="T609" s="66">
        <v>46951.619932957932</v>
      </c>
      <c r="U609" s="67"/>
    </row>
    <row r="610" spans="1:21" x14ac:dyDescent="0.25">
      <c r="A610" s="60">
        <f t="shared" si="53"/>
        <v>582</v>
      </c>
      <c r="B610" s="61">
        <f t="shared" si="54"/>
        <v>124</v>
      </c>
      <c r="C610" s="62" t="s">
        <v>52</v>
      </c>
      <c r="D610" s="62" t="s">
        <v>392</v>
      </c>
      <c r="E610" s="88">
        <f t="shared" si="55"/>
        <v>4800341.7420254378</v>
      </c>
      <c r="F610" s="64">
        <v>0</v>
      </c>
      <c r="G610" s="64">
        <v>2484345.941703442</v>
      </c>
      <c r="H610" s="64">
        <v>0</v>
      </c>
      <c r="I610" s="64">
        <v>2073651.4470731926</v>
      </c>
      <c r="J610" s="64"/>
      <c r="K610" s="64"/>
      <c r="L610" s="64"/>
      <c r="M610" s="64">
        <v>0</v>
      </c>
      <c r="N610" s="64">
        <v>0</v>
      </c>
      <c r="O610" s="64">
        <v>0</v>
      </c>
      <c r="P610" s="64">
        <v>0</v>
      </c>
      <c r="Q610" s="64">
        <v>0</v>
      </c>
      <c r="R610" s="64">
        <v>94862.92</v>
      </c>
      <c r="S610" s="64">
        <v>47941.864855000007</v>
      </c>
      <c r="T610" s="66">
        <v>99539.568393803012</v>
      </c>
      <c r="U610" s="67"/>
    </row>
    <row r="611" spans="1:21" x14ac:dyDescent="0.25">
      <c r="A611" s="60">
        <f t="shared" si="53"/>
        <v>583</v>
      </c>
      <c r="B611" s="61">
        <f t="shared" si="54"/>
        <v>125</v>
      </c>
      <c r="C611" s="62" t="s">
        <v>52</v>
      </c>
      <c r="D611" s="62" t="s">
        <v>715</v>
      </c>
      <c r="E611" s="63">
        <f t="shared" si="55"/>
        <v>21207964.739379063</v>
      </c>
      <c r="F611" s="64"/>
      <c r="G611" s="64"/>
      <c r="H611" s="64"/>
      <c r="I611" s="64"/>
      <c r="J611" s="64">
        <v>1211587.8700000001</v>
      </c>
      <c r="K611" s="64"/>
      <c r="L611" s="64">
        <v>0</v>
      </c>
      <c r="M611" s="64">
        <v>0</v>
      </c>
      <c r="N611" s="64"/>
      <c r="O611" s="64">
        <v>0</v>
      </c>
      <c r="P611" s="64">
        <v>19140943.211428501</v>
      </c>
      <c r="Q611" s="64"/>
      <c r="R611" s="64"/>
      <c r="S611" s="64"/>
      <c r="T611" s="66">
        <v>855433.65795056196</v>
      </c>
      <c r="U611" s="67"/>
    </row>
    <row r="612" spans="1:21" x14ac:dyDescent="0.25">
      <c r="A612" s="60">
        <f t="shared" si="53"/>
        <v>584</v>
      </c>
      <c r="B612" s="61">
        <f t="shared" si="54"/>
        <v>126</v>
      </c>
      <c r="C612" s="62" t="s">
        <v>52</v>
      </c>
      <c r="D612" s="62" t="s">
        <v>716</v>
      </c>
      <c r="E612" s="63">
        <f t="shared" si="55"/>
        <v>21051010.763601422</v>
      </c>
      <c r="F612" s="64"/>
      <c r="G612" s="64"/>
      <c r="H612" s="64"/>
      <c r="I612" s="64"/>
      <c r="J612" s="64">
        <v>1210025.69</v>
      </c>
      <c r="K612" s="64"/>
      <c r="L612" s="64">
        <v>0</v>
      </c>
      <c r="M612" s="64">
        <v>0</v>
      </c>
      <c r="N612" s="64"/>
      <c r="O612" s="64">
        <v>0</v>
      </c>
      <c r="P612" s="64">
        <v>18992723.388754498</v>
      </c>
      <c r="Q612" s="64"/>
      <c r="R612" s="64"/>
      <c r="S612" s="64"/>
      <c r="T612" s="66">
        <v>848261.6848469231</v>
      </c>
      <c r="U612" s="67"/>
    </row>
    <row r="613" spans="1:21" x14ac:dyDescent="0.25">
      <c r="A613" s="60">
        <f t="shared" si="53"/>
        <v>585</v>
      </c>
      <c r="B613" s="61">
        <f t="shared" si="54"/>
        <v>127</v>
      </c>
      <c r="C613" s="62" t="s">
        <v>52</v>
      </c>
      <c r="D613" s="62" t="s">
        <v>1136</v>
      </c>
      <c r="E613" s="88">
        <f t="shared" si="55"/>
        <v>10469460.771</v>
      </c>
      <c r="F613" s="64">
        <v>0</v>
      </c>
      <c r="G613" s="64">
        <v>0</v>
      </c>
      <c r="H613" s="64">
        <v>0</v>
      </c>
      <c r="I613" s="64">
        <v>0</v>
      </c>
      <c r="J613" s="64">
        <v>0</v>
      </c>
      <c r="K613" s="64"/>
      <c r="L613" s="64"/>
      <c r="M613" s="64">
        <v>0</v>
      </c>
      <c r="N613" s="64">
        <v>10245414.310500599</v>
      </c>
      <c r="O613" s="64">
        <v>0</v>
      </c>
      <c r="P613" s="64">
        <v>0</v>
      </c>
      <c r="Q613" s="64">
        <v>0</v>
      </c>
      <c r="R613" s="64"/>
      <c r="S613" s="65"/>
      <c r="T613" s="66">
        <v>224046.46049940001</v>
      </c>
      <c r="U613" s="67"/>
    </row>
    <row r="614" spans="1:21" x14ac:dyDescent="0.25">
      <c r="A614" s="60">
        <f t="shared" si="53"/>
        <v>586</v>
      </c>
      <c r="B614" s="61">
        <f t="shared" si="54"/>
        <v>128</v>
      </c>
      <c r="C614" s="62" t="s">
        <v>52</v>
      </c>
      <c r="D614" s="62" t="s">
        <v>1137</v>
      </c>
      <c r="E614" s="88">
        <f t="shared" si="55"/>
        <v>35602243.248959854</v>
      </c>
      <c r="F614" s="64">
        <v>14803506.67</v>
      </c>
      <c r="G614" s="64">
        <v>6869704.5973592401</v>
      </c>
      <c r="H614" s="64">
        <v>8171118.1097511007</v>
      </c>
      <c r="I614" s="64">
        <v>3937651.5042933603</v>
      </c>
      <c r="J614" s="64">
        <v>0</v>
      </c>
      <c r="K614" s="64"/>
      <c r="L614" s="64">
        <v>952026.39550956013</v>
      </c>
      <c r="M614" s="64">
        <v>0</v>
      </c>
      <c r="N614" s="64"/>
      <c r="O614" s="64">
        <v>0</v>
      </c>
      <c r="P614" s="64">
        <v>0</v>
      </c>
      <c r="Q614" s="64">
        <v>0</v>
      </c>
      <c r="R614" s="64"/>
      <c r="S614" s="65"/>
      <c r="T614" s="66">
        <v>868235.97204658017</v>
      </c>
      <c r="U614" s="67"/>
    </row>
    <row r="615" spans="1:21" x14ac:dyDescent="0.25">
      <c r="A615" s="60">
        <f t="shared" si="53"/>
        <v>587</v>
      </c>
      <c r="B615" s="61">
        <f t="shared" si="54"/>
        <v>129</v>
      </c>
      <c r="C615" s="62" t="s">
        <v>52</v>
      </c>
      <c r="D615" s="62" t="s">
        <v>1084</v>
      </c>
      <c r="E615" s="88">
        <f t="shared" si="55"/>
        <v>5466840.3476459002</v>
      </c>
      <c r="F615" s="64">
        <v>0</v>
      </c>
      <c r="G615" s="64">
        <v>0</v>
      </c>
      <c r="H615" s="64">
        <v>0</v>
      </c>
      <c r="I615" s="64">
        <v>0</v>
      </c>
      <c r="J615" s="64">
        <v>2781639.6</v>
      </c>
      <c r="K615" s="64"/>
      <c r="L615" s="64"/>
      <c r="M615" s="64">
        <v>0</v>
      </c>
      <c r="N615" s="64">
        <v>0</v>
      </c>
      <c r="O615" s="64">
        <v>0</v>
      </c>
      <c r="P615" s="64">
        <v>0</v>
      </c>
      <c r="Q615" s="64"/>
      <c r="R615" s="64">
        <v>2208962.0269999998</v>
      </c>
      <c r="S615" s="64">
        <v>167867.1545</v>
      </c>
      <c r="T615" s="66">
        <v>308371.56614590005</v>
      </c>
      <c r="U615" s="67"/>
    </row>
    <row r="616" spans="1:21" x14ac:dyDescent="0.25">
      <c r="A616" s="60">
        <f t="shared" si="53"/>
        <v>588</v>
      </c>
      <c r="B616" s="61">
        <f t="shared" si="54"/>
        <v>130</v>
      </c>
      <c r="C616" s="62" t="s">
        <v>52</v>
      </c>
      <c r="D616" s="62" t="s">
        <v>754</v>
      </c>
      <c r="E616" s="88">
        <f t="shared" ref="E616:E685" si="56">SUBTOTAL(9,F616:T616)</f>
        <v>4271050</v>
      </c>
      <c r="F616" s="64"/>
      <c r="G616" s="64"/>
      <c r="H616" s="64"/>
      <c r="I616" s="64"/>
      <c r="J616" s="64"/>
      <c r="K616" s="64"/>
      <c r="L616" s="64"/>
      <c r="M616" s="64">
        <v>4012463.5488</v>
      </c>
      <c r="N616" s="64"/>
      <c r="O616" s="64"/>
      <c r="P616" s="64"/>
      <c r="Q616" s="64"/>
      <c r="R616" s="64">
        <v>128131.5</v>
      </c>
      <c r="S616" s="65">
        <v>42710.5</v>
      </c>
      <c r="T616" s="66">
        <v>87744.45120000001</v>
      </c>
      <c r="U616" s="67"/>
    </row>
    <row r="617" spans="1:21" x14ac:dyDescent="0.25">
      <c r="A617" s="60">
        <f t="shared" ref="A617:A680" si="57">+A616+1</f>
        <v>589</v>
      </c>
      <c r="B617" s="61">
        <f t="shared" ref="B617:B680" si="58">+B616+1</f>
        <v>131</v>
      </c>
      <c r="C617" s="62" t="s">
        <v>52</v>
      </c>
      <c r="D617" s="62" t="s">
        <v>755</v>
      </c>
      <c r="E617" s="88">
        <f t="shared" si="56"/>
        <v>1824742.7145551336</v>
      </c>
      <c r="F617" s="64"/>
      <c r="G617" s="64"/>
      <c r="H617" s="64"/>
      <c r="I617" s="64"/>
      <c r="J617" s="64">
        <v>1410134.8415756538</v>
      </c>
      <c r="K617" s="64"/>
      <c r="L617" s="64"/>
      <c r="M617" s="64"/>
      <c r="N617" s="64"/>
      <c r="O617" s="64"/>
      <c r="P617" s="64"/>
      <c r="Q617" s="64"/>
      <c r="R617" s="64">
        <v>383771.07999999996</v>
      </c>
      <c r="S617" s="65"/>
      <c r="T617" s="66">
        <v>30836.792979479862</v>
      </c>
      <c r="U617" s="67"/>
    </row>
    <row r="618" spans="1:21" x14ac:dyDescent="0.25">
      <c r="A618" s="60">
        <f t="shared" si="57"/>
        <v>590</v>
      </c>
      <c r="B618" s="61">
        <f t="shared" si="58"/>
        <v>132</v>
      </c>
      <c r="C618" s="62" t="s">
        <v>52</v>
      </c>
      <c r="D618" s="62" t="s">
        <v>756</v>
      </c>
      <c r="E618" s="88">
        <f t="shared" si="56"/>
        <v>1795945.4259955909</v>
      </c>
      <c r="F618" s="64"/>
      <c r="G618" s="64"/>
      <c r="H618" s="64"/>
      <c r="I618" s="64"/>
      <c r="J618" s="64">
        <v>1382673.1936372851</v>
      </c>
      <c r="K618" s="64"/>
      <c r="L618" s="64"/>
      <c r="M618" s="64"/>
      <c r="N618" s="64"/>
      <c r="O618" s="64"/>
      <c r="P618" s="64"/>
      <c r="Q618" s="64"/>
      <c r="R618" s="64">
        <v>383035.97</v>
      </c>
      <c r="S618" s="65"/>
      <c r="T618" s="66">
        <v>30236.262358305645</v>
      </c>
      <c r="U618" s="67"/>
    </row>
    <row r="619" spans="1:21" x14ac:dyDescent="0.25">
      <c r="A619" s="60">
        <f t="shared" si="57"/>
        <v>591</v>
      </c>
      <c r="B619" s="61">
        <f t="shared" si="58"/>
        <v>133</v>
      </c>
      <c r="C619" s="62" t="s">
        <v>52</v>
      </c>
      <c r="D619" s="62" t="s">
        <v>757</v>
      </c>
      <c r="E619" s="88">
        <f t="shared" si="56"/>
        <v>1819678.2242096788</v>
      </c>
      <c r="F619" s="64"/>
      <c r="G619" s="64"/>
      <c r="H619" s="64"/>
      <c r="I619" s="64"/>
      <c r="J619" s="64">
        <v>1405224.3536555918</v>
      </c>
      <c r="K619" s="64"/>
      <c r="L619" s="64"/>
      <c r="M619" s="64"/>
      <c r="N619" s="64"/>
      <c r="O619" s="64"/>
      <c r="P619" s="64"/>
      <c r="Q619" s="64"/>
      <c r="R619" s="64">
        <v>383724.45999999996</v>
      </c>
      <c r="S619" s="65"/>
      <c r="T619" s="66">
        <v>30729.410554087128</v>
      </c>
      <c r="U619" s="67"/>
    </row>
    <row r="620" spans="1:21" x14ac:dyDescent="0.25">
      <c r="A620" s="60">
        <f t="shared" si="57"/>
        <v>592</v>
      </c>
      <c r="B620" s="61">
        <f t="shared" si="58"/>
        <v>134</v>
      </c>
      <c r="C620" s="62" t="s">
        <v>52</v>
      </c>
      <c r="D620" s="62" t="s">
        <v>719</v>
      </c>
      <c r="E620" s="63">
        <f t="shared" si="56"/>
        <v>3985880.4568241001</v>
      </c>
      <c r="F620" s="64"/>
      <c r="G620" s="64"/>
      <c r="H620" s="64"/>
      <c r="I620" s="64"/>
      <c r="J620" s="64">
        <v>2298156.84</v>
      </c>
      <c r="K620" s="64"/>
      <c r="L620" s="64"/>
      <c r="M620" s="64"/>
      <c r="N620" s="64"/>
      <c r="O620" s="64"/>
      <c r="P620" s="64"/>
      <c r="Q620" s="64"/>
      <c r="R620" s="64"/>
      <c r="S620" s="65"/>
      <c r="T620" s="66">
        <v>1687723.6168241003</v>
      </c>
      <c r="U620" s="67"/>
    </row>
    <row r="621" spans="1:21" x14ac:dyDescent="0.25">
      <c r="A621" s="60">
        <f t="shared" si="57"/>
        <v>593</v>
      </c>
      <c r="B621" s="61">
        <f t="shared" si="58"/>
        <v>135</v>
      </c>
      <c r="C621" s="62" t="s">
        <v>52</v>
      </c>
      <c r="D621" s="62" t="s">
        <v>1086</v>
      </c>
      <c r="E621" s="63">
        <f t="shared" si="56"/>
        <v>18450460.628801689</v>
      </c>
      <c r="F621" s="64"/>
      <c r="G621" s="64"/>
      <c r="H621" s="64">
        <v>0</v>
      </c>
      <c r="I621" s="64">
        <v>0</v>
      </c>
      <c r="J621" s="64"/>
      <c r="K621" s="64"/>
      <c r="L621" s="64"/>
      <c r="M621" s="64">
        <v>0</v>
      </c>
      <c r="N621" s="64">
        <v>18030840.160843939</v>
      </c>
      <c r="O621" s="64">
        <v>0</v>
      </c>
      <c r="P621" s="64">
        <v>0</v>
      </c>
      <c r="Q621" s="64">
        <v>0</v>
      </c>
      <c r="R621" s="64"/>
      <c r="S621" s="65"/>
      <c r="T621" s="66">
        <v>419620.46795774996</v>
      </c>
      <c r="U621" s="67"/>
    </row>
    <row r="622" spans="1:21" x14ac:dyDescent="0.25">
      <c r="A622" s="60">
        <f t="shared" si="57"/>
        <v>594</v>
      </c>
      <c r="B622" s="61">
        <f t="shared" si="58"/>
        <v>136</v>
      </c>
      <c r="C622" s="62" t="s">
        <v>52</v>
      </c>
      <c r="D622" s="62" t="s">
        <v>1032</v>
      </c>
      <c r="E622" s="63">
        <f t="shared" si="56"/>
        <v>9044297.8071412295</v>
      </c>
      <c r="F622" s="64">
        <v>0</v>
      </c>
      <c r="G622" s="64">
        <v>6335311.5899999999</v>
      </c>
      <c r="H622" s="64"/>
      <c r="I622" s="64"/>
      <c r="J622" s="64">
        <v>2080667.57</v>
      </c>
      <c r="K622" s="64"/>
      <c r="L622" s="64"/>
      <c r="M622" s="64">
        <v>0</v>
      </c>
      <c r="N622" s="64">
        <v>0</v>
      </c>
      <c r="O622" s="64">
        <v>0</v>
      </c>
      <c r="P622" s="64">
        <v>0</v>
      </c>
      <c r="Q622" s="64"/>
      <c r="R622" s="64"/>
      <c r="S622" s="65"/>
      <c r="T622" s="66">
        <v>628318.64714122843</v>
      </c>
      <c r="U622" s="67"/>
    </row>
    <row r="623" spans="1:21" x14ac:dyDescent="0.25">
      <c r="A623" s="60">
        <f t="shared" si="57"/>
        <v>595</v>
      </c>
      <c r="B623" s="61">
        <f t="shared" si="58"/>
        <v>137</v>
      </c>
      <c r="C623" s="62" t="s">
        <v>52</v>
      </c>
      <c r="D623" s="62" t="s">
        <v>395</v>
      </c>
      <c r="E623" s="88">
        <f t="shared" si="56"/>
        <v>14636422.305</v>
      </c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>
        <v>14323202.867673</v>
      </c>
      <c r="Q623" s="64"/>
      <c r="R623" s="64"/>
      <c r="S623" s="65"/>
      <c r="T623" s="66">
        <v>313219.43732700002</v>
      </c>
      <c r="U623" s="67"/>
    </row>
    <row r="624" spans="1:21" x14ac:dyDescent="0.25">
      <c r="A624" s="60">
        <f t="shared" si="57"/>
        <v>596</v>
      </c>
      <c r="B624" s="61">
        <f t="shared" si="58"/>
        <v>138</v>
      </c>
      <c r="C624" s="62" t="s">
        <v>52</v>
      </c>
      <c r="D624" s="62" t="s">
        <v>1138</v>
      </c>
      <c r="E624" s="88">
        <f t="shared" si="56"/>
        <v>44995984.52920302</v>
      </c>
      <c r="F624" s="64">
        <v>9072553.7200000007</v>
      </c>
      <c r="G624" s="64">
        <v>0</v>
      </c>
      <c r="H624" s="94">
        <v>5144317</v>
      </c>
      <c r="I624" s="64">
        <v>0</v>
      </c>
      <c r="J624" s="64">
        <v>0</v>
      </c>
      <c r="K624" s="64"/>
      <c r="L624" s="64">
        <v>0</v>
      </c>
      <c r="M624" s="64">
        <v>0</v>
      </c>
      <c r="N624" s="64">
        <v>0</v>
      </c>
      <c r="O624" s="64">
        <v>0</v>
      </c>
      <c r="P624" s="94">
        <v>30086262.489999998</v>
      </c>
      <c r="Q624" s="64">
        <v>0</v>
      </c>
      <c r="R624" s="64"/>
      <c r="S624" s="65"/>
      <c r="T624" s="66">
        <v>692851.31920302007</v>
      </c>
      <c r="U624" s="67"/>
    </row>
    <row r="625" spans="1:21" x14ac:dyDescent="0.25">
      <c r="A625" s="60">
        <f t="shared" si="57"/>
        <v>597</v>
      </c>
      <c r="B625" s="61">
        <f t="shared" si="58"/>
        <v>139</v>
      </c>
      <c r="C625" s="62" t="s">
        <v>52</v>
      </c>
      <c r="D625" s="62" t="s">
        <v>695</v>
      </c>
      <c r="E625" s="88">
        <f t="shared" si="56"/>
        <v>5930894.574</v>
      </c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>
        <v>5803973.4301164001</v>
      </c>
      <c r="Q625" s="64"/>
      <c r="R625" s="64"/>
      <c r="S625" s="65"/>
      <c r="T625" s="66">
        <v>126921.14388360002</v>
      </c>
      <c r="U625" s="67"/>
    </row>
    <row r="626" spans="1:21" x14ac:dyDescent="0.25">
      <c r="A626" s="60">
        <f t="shared" si="57"/>
        <v>598</v>
      </c>
      <c r="B626" s="61">
        <f t="shared" si="58"/>
        <v>140</v>
      </c>
      <c r="C626" s="62" t="s">
        <v>52</v>
      </c>
      <c r="D626" s="62" t="s">
        <v>1088</v>
      </c>
      <c r="E626" s="88">
        <f t="shared" si="56"/>
        <v>16234996.651950564</v>
      </c>
      <c r="F626" s="64"/>
      <c r="G626" s="64"/>
      <c r="H626" s="64"/>
      <c r="I626" s="64"/>
      <c r="J626" s="64"/>
      <c r="K626" s="64"/>
      <c r="L626" s="64"/>
      <c r="M626" s="64">
        <v>0</v>
      </c>
      <c r="N626" s="64">
        <v>13331310.272431584</v>
      </c>
      <c r="O626" s="64">
        <v>0</v>
      </c>
      <c r="P626" s="64">
        <v>0</v>
      </c>
      <c r="Q626" s="64">
        <v>0</v>
      </c>
      <c r="R626" s="64">
        <v>2193617.8228000002</v>
      </c>
      <c r="S626" s="64">
        <v>242740.96649999998</v>
      </c>
      <c r="T626" s="66">
        <v>467327.59021898004</v>
      </c>
      <c r="U626" s="67"/>
    </row>
    <row r="627" spans="1:21" x14ac:dyDescent="0.25">
      <c r="A627" s="60">
        <f t="shared" si="57"/>
        <v>599</v>
      </c>
      <c r="B627" s="61">
        <f t="shared" si="58"/>
        <v>141</v>
      </c>
      <c r="C627" s="62" t="s">
        <v>52</v>
      </c>
      <c r="D627" s="62" t="s">
        <v>1139</v>
      </c>
      <c r="E627" s="88">
        <f t="shared" si="56"/>
        <v>9689035.8902000003</v>
      </c>
      <c r="F627" s="64">
        <v>0</v>
      </c>
      <c r="G627" s="64">
        <v>0</v>
      </c>
      <c r="H627" s="64">
        <v>0</v>
      </c>
      <c r="I627" s="64">
        <v>0</v>
      </c>
      <c r="J627" s="64">
        <v>0</v>
      </c>
      <c r="K627" s="64"/>
      <c r="L627" s="64"/>
      <c r="M627" s="64">
        <v>0</v>
      </c>
      <c r="N627" s="64">
        <v>0</v>
      </c>
      <c r="O627" s="64">
        <v>0</v>
      </c>
      <c r="P627" s="64">
        <v>0</v>
      </c>
      <c r="Q627" s="64">
        <v>9481690.5221497193</v>
      </c>
      <c r="R627" s="64"/>
      <c r="S627" s="65"/>
      <c r="T627" s="66">
        <v>207345.36805028003</v>
      </c>
      <c r="U627" s="67"/>
    </row>
    <row r="628" spans="1:21" x14ac:dyDescent="0.25">
      <c r="A628" s="60">
        <f t="shared" si="57"/>
        <v>600</v>
      </c>
      <c r="B628" s="61">
        <f t="shared" si="58"/>
        <v>142</v>
      </c>
      <c r="C628" s="62" t="s">
        <v>52</v>
      </c>
      <c r="D628" s="62" t="s">
        <v>1140</v>
      </c>
      <c r="E628" s="88">
        <f t="shared" si="56"/>
        <v>25809972.036199998</v>
      </c>
      <c r="F628" s="64"/>
      <c r="G628" s="64"/>
      <c r="H628" s="64"/>
      <c r="I628" s="64"/>
      <c r="J628" s="64"/>
      <c r="K628" s="64"/>
      <c r="L628" s="64"/>
      <c r="M628" s="64"/>
      <c r="N628" s="64"/>
      <c r="O628" s="64">
        <v>0</v>
      </c>
      <c r="P628" s="64">
        <v>25257638.634625319</v>
      </c>
      <c r="Q628" s="64"/>
      <c r="R628" s="64"/>
      <c r="S628" s="65"/>
      <c r="T628" s="66">
        <v>552333.40157468</v>
      </c>
      <c r="U628" s="67"/>
    </row>
    <row r="629" spans="1:21" x14ac:dyDescent="0.25">
      <c r="A629" s="60">
        <f t="shared" si="57"/>
        <v>601</v>
      </c>
      <c r="B629" s="61">
        <f t="shared" si="58"/>
        <v>143</v>
      </c>
      <c r="C629" s="62" t="s">
        <v>52</v>
      </c>
      <c r="D629" s="62" t="s">
        <v>758</v>
      </c>
      <c r="E629" s="88">
        <f t="shared" si="56"/>
        <v>10774080</v>
      </c>
      <c r="F629" s="64"/>
      <c r="G629" s="64"/>
      <c r="H629" s="64"/>
      <c r="I629" s="64"/>
      <c r="J629" s="64"/>
      <c r="K629" s="64"/>
      <c r="L629" s="64"/>
      <c r="M629" s="64">
        <v>10384981.714635869</v>
      </c>
      <c r="N629" s="64"/>
      <c r="O629" s="64"/>
      <c r="P629" s="64"/>
      <c r="Q629" s="64"/>
      <c r="R629" s="64">
        <v>137999.768408064</v>
      </c>
      <c r="S629" s="65">
        <v>24000</v>
      </c>
      <c r="T629" s="66">
        <v>227098.51695606747</v>
      </c>
      <c r="U629" s="67"/>
    </row>
    <row r="630" spans="1:21" x14ac:dyDescent="0.25">
      <c r="A630" s="60">
        <f t="shared" si="57"/>
        <v>602</v>
      </c>
      <c r="B630" s="61">
        <f t="shared" si="58"/>
        <v>144</v>
      </c>
      <c r="C630" s="62" t="s">
        <v>52</v>
      </c>
      <c r="D630" s="62" t="s">
        <v>696</v>
      </c>
      <c r="E630" s="63">
        <f t="shared" si="56"/>
        <v>2884040.2290000003</v>
      </c>
      <c r="F630" s="64"/>
      <c r="G630" s="64"/>
      <c r="H630" s="64"/>
      <c r="I630" s="64">
        <v>2822321.7680994002</v>
      </c>
      <c r="J630" s="64"/>
      <c r="K630" s="64"/>
      <c r="L630" s="64"/>
      <c r="M630" s="64">
        <v>0</v>
      </c>
      <c r="N630" s="64">
        <v>0</v>
      </c>
      <c r="O630" s="64">
        <v>0</v>
      </c>
      <c r="P630" s="64">
        <v>0</v>
      </c>
      <c r="Q630" s="64">
        <v>0</v>
      </c>
      <c r="R630" s="64"/>
      <c r="S630" s="65"/>
      <c r="T630" s="66">
        <v>61718.46090060001</v>
      </c>
      <c r="U630" s="67"/>
    </row>
    <row r="631" spans="1:21" x14ac:dyDescent="0.25">
      <c r="A631" s="60">
        <f t="shared" si="57"/>
        <v>603</v>
      </c>
      <c r="B631" s="61">
        <f t="shared" si="58"/>
        <v>145</v>
      </c>
      <c r="C631" s="62" t="s">
        <v>52</v>
      </c>
      <c r="D631" s="62" t="s">
        <v>720</v>
      </c>
      <c r="E631" s="88">
        <f t="shared" si="56"/>
        <v>72996954.546168298</v>
      </c>
      <c r="F631" s="64">
        <v>13252960.973482361</v>
      </c>
      <c r="G631" s="64">
        <v>5463949.4500000002</v>
      </c>
      <c r="H631" s="64">
        <v>5779912.4346651649</v>
      </c>
      <c r="I631" s="64">
        <v>4539383.7009658208</v>
      </c>
      <c r="J631" s="64">
        <v>1746367.9118282564</v>
      </c>
      <c r="K631" s="64"/>
      <c r="L631" s="64">
        <v>358162.19323499996</v>
      </c>
      <c r="M631" s="64">
        <v>0</v>
      </c>
      <c r="N631" s="64">
        <v>24547082.889778178</v>
      </c>
      <c r="O631" s="64">
        <v>0</v>
      </c>
      <c r="P631" s="64"/>
      <c r="Q631" s="64">
        <v>13819375.891313059</v>
      </c>
      <c r="R631" s="64">
        <v>1237123.4752559615</v>
      </c>
      <c r="S631" s="65">
        <v>730811.92458634079</v>
      </c>
      <c r="T631" s="66">
        <v>1521823.701058144</v>
      </c>
      <c r="U631" s="67"/>
    </row>
    <row r="632" spans="1:21" x14ac:dyDescent="0.25">
      <c r="A632" s="60">
        <f t="shared" si="57"/>
        <v>604</v>
      </c>
      <c r="B632" s="61">
        <f t="shared" si="58"/>
        <v>146</v>
      </c>
      <c r="C632" s="62" t="s">
        <v>52</v>
      </c>
      <c r="D632" s="62" t="s">
        <v>246</v>
      </c>
      <c r="E632" s="63">
        <f>SUBTOTAL(9,F632:T632)</f>
        <v>4210943.8804099718</v>
      </c>
      <c r="F632" s="64">
        <v>3372340.0006102221</v>
      </c>
      <c r="G632" s="64"/>
      <c r="H632" s="64"/>
      <c r="I632" s="64"/>
      <c r="J632" s="71"/>
      <c r="K632" s="64"/>
      <c r="L632" s="64"/>
      <c r="M632" s="64">
        <v>0</v>
      </c>
      <c r="N632" s="64"/>
      <c r="O632" s="64">
        <v>0</v>
      </c>
      <c r="P632" s="64">
        <v>0</v>
      </c>
      <c r="Q632" s="64">
        <v>0</v>
      </c>
      <c r="R632" s="64">
        <v>513326.799</v>
      </c>
      <c r="S632" s="65">
        <v>73858.718200000003</v>
      </c>
      <c r="T632" s="66">
        <v>251418.36259974982</v>
      </c>
      <c r="U632" s="67"/>
    </row>
    <row r="633" spans="1:21" x14ac:dyDescent="0.25">
      <c r="A633" s="60">
        <f t="shared" si="57"/>
        <v>605</v>
      </c>
      <c r="B633" s="61">
        <f t="shared" si="58"/>
        <v>147</v>
      </c>
      <c r="C633" s="62" t="s">
        <v>52</v>
      </c>
      <c r="D633" s="62" t="s">
        <v>721</v>
      </c>
      <c r="E633" s="63">
        <f t="shared" ref="E633" si="59">SUBTOTAL(9,F633:T633)</f>
        <v>23398184.571970925</v>
      </c>
      <c r="F633" s="64">
        <v>5140994.1947502466</v>
      </c>
      <c r="G633" s="64"/>
      <c r="H633" s="64"/>
      <c r="I633" s="64"/>
      <c r="J633" s="64"/>
      <c r="K633" s="64"/>
      <c r="L633" s="64">
        <v>197263.76375642995</v>
      </c>
      <c r="M633" s="64"/>
      <c r="N633" s="64"/>
      <c r="O633" s="64"/>
      <c r="P633" s="64">
        <v>12424389.395071501</v>
      </c>
      <c r="Q633" s="64">
        <v>4796312.227541185</v>
      </c>
      <c r="R633" s="64"/>
      <c r="S633" s="65"/>
      <c r="T633" s="66">
        <v>839224.99085156212</v>
      </c>
      <c r="U633" s="67"/>
    </row>
    <row r="634" spans="1:21" x14ac:dyDescent="0.25">
      <c r="A634" s="60">
        <f t="shared" si="57"/>
        <v>606</v>
      </c>
      <c r="B634" s="61">
        <f t="shared" si="58"/>
        <v>148</v>
      </c>
      <c r="C634" s="62" t="s">
        <v>52</v>
      </c>
      <c r="D634" s="62" t="s">
        <v>396</v>
      </c>
      <c r="E634" s="88">
        <f t="shared" si="56"/>
        <v>5455626.652693335</v>
      </c>
      <c r="F634" s="64">
        <v>5002408.7896594871</v>
      </c>
      <c r="G634" s="64">
        <v>0</v>
      </c>
      <c r="H634" s="64">
        <v>0</v>
      </c>
      <c r="I634" s="64">
        <v>0</v>
      </c>
      <c r="J634" s="64"/>
      <c r="K634" s="64"/>
      <c r="L634" s="64">
        <v>181362.34506279053</v>
      </c>
      <c r="M634" s="64">
        <v>0</v>
      </c>
      <c r="N634" s="64">
        <v>0</v>
      </c>
      <c r="O634" s="64">
        <v>0</v>
      </c>
      <c r="P634" s="64">
        <v>0</v>
      </c>
      <c r="Q634" s="64">
        <v>0</v>
      </c>
      <c r="R634" s="64">
        <v>114738.14</v>
      </c>
      <c r="S634" s="64">
        <v>45263.86</v>
      </c>
      <c r="T634" s="66">
        <v>111853.51797105787</v>
      </c>
      <c r="U634" s="67"/>
    </row>
    <row r="635" spans="1:21" x14ac:dyDescent="0.25">
      <c r="A635" s="60">
        <f t="shared" si="57"/>
        <v>607</v>
      </c>
      <c r="B635" s="61">
        <f t="shared" si="58"/>
        <v>149</v>
      </c>
      <c r="C635" s="62" t="s">
        <v>52</v>
      </c>
      <c r="D635" s="62" t="s">
        <v>1141</v>
      </c>
      <c r="E635" s="88">
        <f t="shared" si="56"/>
        <v>7038538.1019435525</v>
      </c>
      <c r="F635" s="64">
        <v>6493512.7739412477</v>
      </c>
      <c r="G635" s="64">
        <v>0</v>
      </c>
      <c r="H635" s="64">
        <v>0</v>
      </c>
      <c r="I635" s="64">
        <v>0</v>
      </c>
      <c r="J635" s="64"/>
      <c r="K635" s="64"/>
      <c r="L635" s="64">
        <v>234524.94783440491</v>
      </c>
      <c r="M635" s="64">
        <v>0</v>
      </c>
      <c r="N635" s="64">
        <v>0</v>
      </c>
      <c r="O635" s="64">
        <v>0</v>
      </c>
      <c r="P635" s="64">
        <v>0</v>
      </c>
      <c r="Q635" s="64">
        <v>0</v>
      </c>
      <c r="R635" s="64">
        <v>119126.95999999999</v>
      </c>
      <c r="S635" s="64">
        <v>45834.82</v>
      </c>
      <c r="T635" s="66">
        <v>145538.60016789901</v>
      </c>
      <c r="U635" s="67"/>
    </row>
    <row r="636" spans="1:21" x14ac:dyDescent="0.25">
      <c r="A636" s="60">
        <f t="shared" si="57"/>
        <v>608</v>
      </c>
      <c r="B636" s="61">
        <f t="shared" si="58"/>
        <v>150</v>
      </c>
      <c r="C636" s="62" t="s">
        <v>52</v>
      </c>
      <c r="D636" s="62" t="s">
        <v>697</v>
      </c>
      <c r="E636" s="88">
        <f t="shared" si="56"/>
        <v>27045204.900675531</v>
      </c>
      <c r="F636" s="64"/>
      <c r="G636" s="64">
        <v>2813313.3875597478</v>
      </c>
      <c r="H636" s="64"/>
      <c r="I636" s="64">
        <v>2267584.4522833321</v>
      </c>
      <c r="J636" s="64"/>
      <c r="K636" s="64"/>
      <c r="L636" s="64"/>
      <c r="M636" s="64">
        <v>0</v>
      </c>
      <c r="N636" s="64"/>
      <c r="O636" s="64">
        <v>0</v>
      </c>
      <c r="P636" s="64">
        <v>16812725.450546023</v>
      </c>
      <c r="Q636" s="64"/>
      <c r="R636" s="64">
        <v>3718496.5709544048</v>
      </c>
      <c r="S636" s="65">
        <v>411105.06146944402</v>
      </c>
      <c r="T636" s="66">
        <v>1021979.9778625823</v>
      </c>
      <c r="U636" s="67"/>
    </row>
    <row r="637" spans="1:21" x14ac:dyDescent="0.25">
      <c r="A637" s="60">
        <f t="shared" si="57"/>
        <v>609</v>
      </c>
      <c r="B637" s="61">
        <f t="shared" si="58"/>
        <v>151</v>
      </c>
      <c r="C637" s="62" t="s">
        <v>52</v>
      </c>
      <c r="D637" s="62" t="s">
        <v>547</v>
      </c>
      <c r="E637" s="63">
        <f t="shared" si="56"/>
        <v>6359442.837614039</v>
      </c>
      <c r="F637" s="64">
        <v>5740166.195995139</v>
      </c>
      <c r="G637" s="64"/>
      <c r="H637" s="64"/>
      <c r="I637" s="71"/>
      <c r="J637" s="64"/>
      <c r="K637" s="64"/>
      <c r="L637" s="64">
        <v>285227.34661260003</v>
      </c>
      <c r="M637" s="64"/>
      <c r="N637" s="64"/>
      <c r="O637" s="64"/>
      <c r="P637" s="64"/>
      <c r="Q637" s="64"/>
      <c r="R637" s="64"/>
      <c r="S637" s="65"/>
      <c r="T637" s="66">
        <v>334049.29500629997</v>
      </c>
      <c r="U637" s="67"/>
    </row>
    <row r="638" spans="1:21" x14ac:dyDescent="0.25">
      <c r="A638" s="60">
        <f t="shared" si="57"/>
        <v>610</v>
      </c>
      <c r="B638" s="61">
        <f t="shared" si="58"/>
        <v>152</v>
      </c>
      <c r="C638" s="62" t="s">
        <v>52</v>
      </c>
      <c r="D638" s="62" t="s">
        <v>1090</v>
      </c>
      <c r="E638" s="88">
        <f t="shared" si="56"/>
        <v>17306589.959952999</v>
      </c>
      <c r="F638" s="64"/>
      <c r="G638" s="64">
        <v>1549048.0710389998</v>
      </c>
      <c r="H638" s="64"/>
      <c r="I638" s="64">
        <v>1294043.959488</v>
      </c>
      <c r="J638" s="64"/>
      <c r="K638" s="64"/>
      <c r="L638" s="64"/>
      <c r="M638" s="64">
        <v>0</v>
      </c>
      <c r="N638" s="64"/>
      <c r="O638" s="64">
        <v>0</v>
      </c>
      <c r="P638" s="64">
        <v>9490291.0997370016</v>
      </c>
      <c r="Q638" s="64">
        <v>3959521.1427175263</v>
      </c>
      <c r="R638" s="64">
        <v>390060.34770000004</v>
      </c>
      <c r="S638" s="64">
        <v>37971.527699999999</v>
      </c>
      <c r="T638" s="66">
        <v>585653.81157147221</v>
      </c>
      <c r="U638" s="67"/>
    </row>
    <row r="639" spans="1:21" x14ac:dyDescent="0.25">
      <c r="A639" s="60">
        <f t="shared" si="57"/>
        <v>611</v>
      </c>
      <c r="B639" s="61">
        <f t="shared" si="58"/>
        <v>153</v>
      </c>
      <c r="C639" s="62" t="s">
        <v>52</v>
      </c>
      <c r="D639" s="62" t="s">
        <v>1092</v>
      </c>
      <c r="E639" s="88">
        <f t="shared" si="56"/>
        <v>8007344.662175999</v>
      </c>
      <c r="F639" s="64">
        <v>0</v>
      </c>
      <c r="G639" s="64">
        <v>0</v>
      </c>
      <c r="H639" s="64">
        <v>0</v>
      </c>
      <c r="I639" s="64">
        <v>0</v>
      </c>
      <c r="J639" s="64"/>
      <c r="K639" s="64"/>
      <c r="L639" s="64"/>
      <c r="M639" s="64">
        <v>0</v>
      </c>
      <c r="N639" s="64">
        <v>0</v>
      </c>
      <c r="O639" s="64">
        <v>0</v>
      </c>
      <c r="P639" s="64">
        <v>0</v>
      </c>
      <c r="Q639" s="64">
        <v>7829891.4404087989</v>
      </c>
      <c r="R639" s="64"/>
      <c r="S639" s="65"/>
      <c r="T639" s="66">
        <v>177453.22176719998</v>
      </c>
      <c r="U639" s="67"/>
    </row>
    <row r="640" spans="1:21" x14ac:dyDescent="0.25">
      <c r="A640" s="60">
        <f t="shared" si="57"/>
        <v>612</v>
      </c>
      <c r="B640" s="61">
        <f t="shared" si="58"/>
        <v>154</v>
      </c>
      <c r="C640" s="62" t="s">
        <v>52</v>
      </c>
      <c r="D640" s="62" t="s">
        <v>1142</v>
      </c>
      <c r="E640" s="88">
        <f t="shared" si="56"/>
        <v>23173767.375</v>
      </c>
      <c r="F640" s="64">
        <v>0</v>
      </c>
      <c r="G640" s="64">
        <v>0</v>
      </c>
      <c r="H640" s="64">
        <v>0</v>
      </c>
      <c r="I640" s="64">
        <v>0</v>
      </c>
      <c r="J640" s="64">
        <v>0</v>
      </c>
      <c r="K640" s="64"/>
      <c r="L640" s="64"/>
      <c r="M640" s="64">
        <v>0</v>
      </c>
      <c r="N640" s="64">
        <v>0</v>
      </c>
      <c r="O640" s="64">
        <v>0</v>
      </c>
      <c r="P640" s="64">
        <v>22469996.755391669</v>
      </c>
      <c r="Q640" s="64">
        <v>0</v>
      </c>
      <c r="R640" s="64">
        <v>176500.30000340639</v>
      </c>
      <c r="S640" s="64">
        <v>35897</v>
      </c>
      <c r="T640" s="66">
        <v>491373.31960492715</v>
      </c>
      <c r="U640" s="67"/>
    </row>
    <row r="641" spans="1:21" x14ac:dyDescent="0.25">
      <c r="A641" s="60">
        <f t="shared" si="57"/>
        <v>613</v>
      </c>
      <c r="B641" s="61">
        <f t="shared" si="58"/>
        <v>155</v>
      </c>
      <c r="C641" s="62" t="s">
        <v>52</v>
      </c>
      <c r="D641" s="62" t="s">
        <v>725</v>
      </c>
      <c r="E641" s="63">
        <f t="shared" si="56"/>
        <v>32024210.41064246</v>
      </c>
      <c r="F641" s="64">
        <v>16034044.152180096</v>
      </c>
      <c r="G641" s="64">
        <v>5691851.8389192764</v>
      </c>
      <c r="H641" s="64"/>
      <c r="I641" s="64">
        <v>5790873.0293484004</v>
      </c>
      <c r="J641" s="64">
        <v>2792950.7234944897</v>
      </c>
      <c r="K641" s="64"/>
      <c r="L641" s="64">
        <v>582245.94929312461</v>
      </c>
      <c r="M641" s="64"/>
      <c r="N641" s="64"/>
      <c r="O641" s="64"/>
      <c r="P641" s="72"/>
      <c r="Q641" s="64"/>
      <c r="R641" s="64"/>
      <c r="S641" s="65"/>
      <c r="T641" s="66">
        <v>1132244.7174070757</v>
      </c>
      <c r="U641" s="67"/>
    </row>
    <row r="642" spans="1:21" x14ac:dyDescent="0.25">
      <c r="A642" s="60">
        <f t="shared" si="57"/>
        <v>614</v>
      </c>
      <c r="B642" s="61">
        <f t="shared" si="58"/>
        <v>156</v>
      </c>
      <c r="C642" s="62" t="s">
        <v>52</v>
      </c>
      <c r="D642" s="62" t="s">
        <v>700</v>
      </c>
      <c r="E642" s="88">
        <f t="shared" si="56"/>
        <v>5091660.76</v>
      </c>
      <c r="F642" s="64">
        <v>3286355.0600000005</v>
      </c>
      <c r="G642" s="64">
        <v>0</v>
      </c>
      <c r="H642" s="64">
        <v>0</v>
      </c>
      <c r="I642" s="64">
        <v>0</v>
      </c>
      <c r="J642" s="64">
        <v>974016.82475999987</v>
      </c>
      <c r="K642" s="64"/>
      <c r="L642" s="64"/>
      <c r="M642" s="64">
        <v>0</v>
      </c>
      <c r="N642" s="64">
        <v>0</v>
      </c>
      <c r="O642" s="64">
        <v>0</v>
      </c>
      <c r="P642" s="64">
        <v>0</v>
      </c>
      <c r="Q642" s="64">
        <v>0</v>
      </c>
      <c r="R642" s="64">
        <f>113216.27+157569.7</f>
        <v>270785.97000000003</v>
      </c>
      <c r="S642" s="64">
        <f>28324.81+24000</f>
        <v>52324.81</v>
      </c>
      <c r="T642" s="66">
        <f>21299.77524+486878.32</f>
        <v>508178.09524</v>
      </c>
      <c r="U642" s="67"/>
    </row>
    <row r="643" spans="1:21" x14ac:dyDescent="0.25">
      <c r="A643" s="60">
        <f t="shared" si="57"/>
        <v>615</v>
      </c>
      <c r="B643" s="61">
        <f t="shared" si="58"/>
        <v>157</v>
      </c>
      <c r="C643" s="62" t="s">
        <v>52</v>
      </c>
      <c r="D643" s="62" t="s">
        <v>400</v>
      </c>
      <c r="E643" s="88">
        <f t="shared" si="56"/>
        <v>2536945.4940698305</v>
      </c>
      <c r="F643" s="64">
        <v>0</v>
      </c>
      <c r="G643" s="64">
        <v>2230881.5159207908</v>
      </c>
      <c r="H643" s="64">
        <v>0</v>
      </c>
      <c r="I643" s="64">
        <v>0</v>
      </c>
      <c r="J643" s="64"/>
      <c r="K643" s="64"/>
      <c r="L643" s="64"/>
      <c r="M643" s="64">
        <v>0</v>
      </c>
      <c r="N643" s="64">
        <v>0</v>
      </c>
      <c r="O643" s="64">
        <v>0</v>
      </c>
      <c r="P643" s="64">
        <v>0</v>
      </c>
      <c r="Q643" s="64">
        <v>0</v>
      </c>
      <c r="R643" s="64">
        <v>237174.32400000002</v>
      </c>
      <c r="S643" s="64">
        <v>23717.432400000002</v>
      </c>
      <c r="T643" s="66">
        <v>45172.221749040007</v>
      </c>
      <c r="U643" s="67"/>
    </row>
    <row r="644" spans="1:21" x14ac:dyDescent="0.25">
      <c r="A644" s="60">
        <f t="shared" si="57"/>
        <v>616</v>
      </c>
      <c r="B644" s="61">
        <f t="shared" si="58"/>
        <v>158</v>
      </c>
      <c r="C644" s="62" t="s">
        <v>52</v>
      </c>
      <c r="D644" s="62" t="s">
        <v>770</v>
      </c>
      <c r="E644" s="88">
        <f t="shared" si="56"/>
        <v>1970236.371824</v>
      </c>
      <c r="F644" s="64"/>
      <c r="G644" s="64"/>
      <c r="H644" s="64"/>
      <c r="I644" s="64"/>
      <c r="J644" s="64">
        <v>1671863.4150329665</v>
      </c>
      <c r="K644" s="64"/>
      <c r="L644" s="64"/>
      <c r="M644" s="64"/>
      <c r="N644" s="64"/>
      <c r="O644" s="64"/>
      <c r="P644" s="64"/>
      <c r="Q644" s="64"/>
      <c r="R644" s="64">
        <v>261812.69</v>
      </c>
      <c r="S644" s="65"/>
      <c r="T644" s="66">
        <v>36560.266791033602</v>
      </c>
      <c r="U644" s="67"/>
    </row>
    <row r="645" spans="1:21" x14ac:dyDescent="0.25">
      <c r="A645" s="60">
        <f t="shared" si="57"/>
        <v>617</v>
      </c>
      <c r="B645" s="61">
        <f t="shared" si="58"/>
        <v>159</v>
      </c>
      <c r="C645" s="62" t="s">
        <v>52</v>
      </c>
      <c r="D645" s="62" t="s">
        <v>771</v>
      </c>
      <c r="E645" s="88">
        <f t="shared" si="56"/>
        <v>7182720</v>
      </c>
      <c r="F645" s="64"/>
      <c r="G645" s="64"/>
      <c r="H645" s="64"/>
      <c r="I645" s="64"/>
      <c r="J645" s="64"/>
      <c r="K645" s="64"/>
      <c r="L645" s="64"/>
      <c r="M645" s="64">
        <v>6868490.3575085625</v>
      </c>
      <c r="N645" s="64"/>
      <c r="O645" s="64"/>
      <c r="P645" s="64"/>
      <c r="Q645" s="64"/>
      <c r="R645" s="64">
        <v>140029.66941696001</v>
      </c>
      <c r="S645" s="65">
        <v>24000</v>
      </c>
      <c r="T645" s="66">
        <v>150199.97307447705</v>
      </c>
      <c r="U645" s="67"/>
    </row>
    <row r="646" spans="1:21" x14ac:dyDescent="0.25">
      <c r="A646" s="60">
        <f t="shared" si="57"/>
        <v>618</v>
      </c>
      <c r="B646" s="61">
        <f t="shared" si="58"/>
        <v>160</v>
      </c>
      <c r="C646" s="62" t="s">
        <v>52</v>
      </c>
      <c r="D646" s="62" t="s">
        <v>760</v>
      </c>
      <c r="E646" s="88">
        <f t="shared" si="56"/>
        <v>6695886.5029184306</v>
      </c>
      <c r="F646" s="64"/>
      <c r="G646" s="64">
        <v>2902577.0561398687</v>
      </c>
      <c r="H646" s="64"/>
      <c r="I646" s="64">
        <v>1898584.0855715647</v>
      </c>
      <c r="J646" s="64">
        <v>1161613.0260681349</v>
      </c>
      <c r="K646" s="64"/>
      <c r="L646" s="64"/>
      <c r="M646" s="64">
        <v>0</v>
      </c>
      <c r="N646" s="64">
        <v>0</v>
      </c>
      <c r="O646" s="64">
        <v>0</v>
      </c>
      <c r="P646" s="64"/>
      <c r="Q646" s="64"/>
      <c r="R646" s="64"/>
      <c r="S646" s="65"/>
      <c r="T646" s="66">
        <v>733112.33513886225</v>
      </c>
      <c r="U646" s="67"/>
    </row>
    <row r="647" spans="1:21" x14ac:dyDescent="0.25">
      <c r="A647" s="60">
        <f t="shared" si="57"/>
        <v>619</v>
      </c>
      <c r="B647" s="61">
        <f t="shared" si="58"/>
        <v>161</v>
      </c>
      <c r="C647" s="62" t="s">
        <v>52</v>
      </c>
      <c r="D647" s="62" t="s">
        <v>761</v>
      </c>
      <c r="E647" s="88">
        <f t="shared" si="56"/>
        <v>63116966.453721315</v>
      </c>
      <c r="F647" s="64">
        <v>13148633.556306994</v>
      </c>
      <c r="G647" s="64">
        <v>4192746.7065505343</v>
      </c>
      <c r="H647" s="64"/>
      <c r="I647" s="64">
        <v>4285819.8536529616</v>
      </c>
      <c r="J647" s="64">
        <v>2055716.9420669565</v>
      </c>
      <c r="K647" s="64"/>
      <c r="L647" s="64">
        <v>504522.83066567749</v>
      </c>
      <c r="M647" s="64"/>
      <c r="N647" s="64"/>
      <c r="O647" s="64"/>
      <c r="P647" s="64">
        <v>31776683.094386999</v>
      </c>
      <c r="Q647" s="64"/>
      <c r="R647" s="64">
        <v>5496977.6636125278</v>
      </c>
      <c r="S647" s="65">
        <v>568685.02805103827</v>
      </c>
      <c r="T647" s="66">
        <v>1087180.7784276213</v>
      </c>
      <c r="U647" s="67"/>
    </row>
    <row r="648" spans="1:21" x14ac:dyDescent="0.25">
      <c r="A648" s="60">
        <f t="shared" si="57"/>
        <v>620</v>
      </c>
      <c r="B648" s="61">
        <f t="shared" si="58"/>
        <v>162</v>
      </c>
      <c r="C648" s="62" t="s">
        <v>52</v>
      </c>
      <c r="D648" s="62" t="s">
        <v>701</v>
      </c>
      <c r="E648" s="88">
        <f t="shared" si="56"/>
        <v>25411579.077413462</v>
      </c>
      <c r="F648" s="64"/>
      <c r="G648" s="64">
        <v>1245773.46</v>
      </c>
      <c r="H648" s="64">
        <v>1202952.82</v>
      </c>
      <c r="I648" s="64"/>
      <c r="J648" s="64"/>
      <c r="K648" s="64"/>
      <c r="L648" s="64"/>
      <c r="M648" s="64"/>
      <c r="N648" s="64"/>
      <c r="O648" s="64">
        <v>0</v>
      </c>
      <c r="P648" s="64">
        <v>18996840.606051002</v>
      </c>
      <c r="Q648" s="64"/>
      <c r="R648" s="64">
        <v>2732058.4400660531</v>
      </c>
      <c r="S648" s="65">
        <v>286925.44751838496</v>
      </c>
      <c r="T648" s="66">
        <v>947028.30377802055</v>
      </c>
      <c r="U648" s="67"/>
    </row>
    <row r="649" spans="1:21" x14ac:dyDescent="0.25">
      <c r="A649" s="60">
        <f t="shared" si="57"/>
        <v>621</v>
      </c>
      <c r="B649" s="61">
        <f t="shared" si="58"/>
        <v>163</v>
      </c>
      <c r="C649" s="62" t="s">
        <v>52</v>
      </c>
      <c r="D649" s="62" t="s">
        <v>762</v>
      </c>
      <c r="E649" s="88">
        <f t="shared" si="56"/>
        <v>2039953.34</v>
      </c>
      <c r="F649" s="64"/>
      <c r="G649" s="64"/>
      <c r="H649" s="64"/>
      <c r="I649" s="64"/>
      <c r="J649" s="64">
        <v>1732566.2449115328</v>
      </c>
      <c r="K649" s="64"/>
      <c r="L649" s="64"/>
      <c r="M649" s="64"/>
      <c r="N649" s="64"/>
      <c r="O649" s="64"/>
      <c r="P649" s="64"/>
      <c r="Q649" s="64"/>
      <c r="R649" s="64">
        <v>245499.38035199995</v>
      </c>
      <c r="S649" s="65">
        <v>24000</v>
      </c>
      <c r="T649" s="66">
        <v>37887.714736467206</v>
      </c>
      <c r="U649" s="67"/>
    </row>
    <row r="650" spans="1:21" x14ac:dyDescent="0.25">
      <c r="A650" s="60">
        <f t="shared" si="57"/>
        <v>622</v>
      </c>
      <c r="B650" s="61">
        <f t="shared" si="58"/>
        <v>164</v>
      </c>
      <c r="C650" s="62" t="s">
        <v>52</v>
      </c>
      <c r="D650" s="62" t="s">
        <v>763</v>
      </c>
      <c r="E650" s="88">
        <f t="shared" si="56"/>
        <v>42949440.406216398</v>
      </c>
      <c r="F650" s="64">
        <v>7393681.9400000004</v>
      </c>
      <c r="G650" s="64">
        <v>2143637.4761874913</v>
      </c>
      <c r="H650" s="64">
        <v>2373820.8287424021</v>
      </c>
      <c r="I650" s="64">
        <v>1401136.3128114911</v>
      </c>
      <c r="J650" s="64">
        <v>1294156.2482307241</v>
      </c>
      <c r="K650" s="64"/>
      <c r="L650" s="64">
        <v>230299.60996685261</v>
      </c>
      <c r="M650" s="64"/>
      <c r="N650" s="64">
        <v>16590386.987008668</v>
      </c>
      <c r="O650" s="64"/>
      <c r="P650" s="64"/>
      <c r="Q650" s="64">
        <v>9290993.527514426</v>
      </c>
      <c r="R650" s="64">
        <v>1498477.79318372</v>
      </c>
      <c r="S650" s="65">
        <v>43476.727368</v>
      </c>
      <c r="T650" s="66">
        <v>689372.95520262048</v>
      </c>
      <c r="U650" s="67"/>
    </row>
    <row r="651" spans="1:21" x14ac:dyDescent="0.25">
      <c r="A651" s="60">
        <f t="shared" si="57"/>
        <v>623</v>
      </c>
      <c r="B651" s="61">
        <f t="shared" si="58"/>
        <v>165</v>
      </c>
      <c r="C651" s="62" t="s">
        <v>52</v>
      </c>
      <c r="D651" s="62" t="s">
        <v>764</v>
      </c>
      <c r="E651" s="88">
        <f t="shared" si="56"/>
        <v>21455330.913193382</v>
      </c>
      <c r="F651" s="64">
        <v>10498865.200444018</v>
      </c>
      <c r="G651" s="64">
        <v>3966708.6084559076</v>
      </c>
      <c r="H651" s="64">
        <v>0</v>
      </c>
      <c r="I651" s="64">
        <v>3542622.2502106796</v>
      </c>
      <c r="J651" s="64">
        <v>1398827.3755945871</v>
      </c>
      <c r="K651" s="64"/>
      <c r="L651" s="64">
        <v>376376.55930242059</v>
      </c>
      <c r="M651" s="64">
        <v>0</v>
      </c>
      <c r="N651" s="64"/>
      <c r="O651" s="64">
        <v>0</v>
      </c>
      <c r="P651" s="64"/>
      <c r="Q651" s="64"/>
      <c r="R651" s="64"/>
      <c r="S651" s="65"/>
      <c r="T651" s="66">
        <v>1671930.9191857728</v>
      </c>
      <c r="U651" s="67"/>
    </row>
    <row r="652" spans="1:21" x14ac:dyDescent="0.25">
      <c r="A652" s="60">
        <f t="shared" si="57"/>
        <v>624</v>
      </c>
      <c r="B652" s="61">
        <f t="shared" si="58"/>
        <v>166</v>
      </c>
      <c r="C652" s="62" t="s">
        <v>52</v>
      </c>
      <c r="D652" s="62" t="s">
        <v>1145</v>
      </c>
      <c r="E652" s="63">
        <f>SUBTOTAL(9,F652:T652)</f>
        <v>1024198.037306</v>
      </c>
      <c r="F652" s="64"/>
      <c r="G652" s="64"/>
      <c r="H652" s="64"/>
      <c r="I652" s="64"/>
      <c r="J652" s="64">
        <v>1013323.25</v>
      </c>
      <c r="K652" s="64"/>
      <c r="L652" s="64"/>
      <c r="M652" s="64"/>
      <c r="N652" s="64"/>
      <c r="O652" s="64"/>
      <c r="P652" s="64"/>
      <c r="Q652" s="64"/>
      <c r="R652" s="64"/>
      <c r="S652" s="65"/>
      <c r="T652" s="66">
        <v>10874.787306</v>
      </c>
      <c r="U652" s="67"/>
    </row>
    <row r="653" spans="1:21" s="75" customFormat="1" x14ac:dyDescent="0.25">
      <c r="A653" s="60">
        <f t="shared" si="57"/>
        <v>625</v>
      </c>
      <c r="B653" s="61">
        <f t="shared" si="58"/>
        <v>167</v>
      </c>
      <c r="C653" s="62" t="s">
        <v>52</v>
      </c>
      <c r="D653" s="62" t="s">
        <v>123</v>
      </c>
      <c r="E653" s="63">
        <f t="shared" ref="E653:E654" si="60">SUBTOTAL(9,F653:T653)</f>
        <v>9988266.6167057697</v>
      </c>
      <c r="F653" s="64"/>
      <c r="G653" s="64">
        <v>5733964.2152626254</v>
      </c>
      <c r="H653" s="64"/>
      <c r="I653" s="64"/>
      <c r="J653" s="64">
        <v>2716727.83</v>
      </c>
      <c r="K653" s="64"/>
      <c r="L653" s="64"/>
      <c r="M653" s="64"/>
      <c r="N653" s="64"/>
      <c r="O653" s="64"/>
      <c r="P653" s="64"/>
      <c r="Q653" s="64"/>
      <c r="R653" s="64"/>
      <c r="S653" s="64"/>
      <c r="T653" s="96">
        <v>1537574.5714431447</v>
      </c>
      <c r="U653" s="67"/>
    </row>
    <row r="654" spans="1:21" s="75" customFormat="1" x14ac:dyDescent="0.25">
      <c r="A654" s="60">
        <f t="shared" si="57"/>
        <v>626</v>
      </c>
      <c r="B654" s="61">
        <f t="shared" si="58"/>
        <v>168</v>
      </c>
      <c r="C654" s="62" t="s">
        <v>52</v>
      </c>
      <c r="D654" s="62" t="s">
        <v>729</v>
      </c>
      <c r="E654" s="63">
        <f t="shared" si="60"/>
        <v>54036509.66664619</v>
      </c>
      <c r="F654" s="64">
        <v>8624090.4981803056</v>
      </c>
      <c r="G654" s="64">
        <v>5764392.5653245952</v>
      </c>
      <c r="H654" s="64"/>
      <c r="I654" s="64">
        <v>4190749.9292622432</v>
      </c>
      <c r="J654" s="64">
        <v>2625980.02</v>
      </c>
      <c r="K654" s="64"/>
      <c r="L654" s="64">
        <v>408501.9990271061</v>
      </c>
      <c r="M654" s="64"/>
      <c r="N654" s="64"/>
      <c r="O654" s="64"/>
      <c r="P654" s="64">
        <v>30921783.364401255</v>
      </c>
      <c r="Q654" s="64"/>
      <c r="R654" s="64"/>
      <c r="S654" s="64"/>
      <c r="T654" s="96">
        <v>1501011.2904506847</v>
      </c>
      <c r="U654" s="67"/>
    </row>
    <row r="655" spans="1:21" x14ac:dyDescent="0.25">
      <c r="A655" s="60">
        <f t="shared" si="57"/>
        <v>627</v>
      </c>
      <c r="B655" s="61">
        <f t="shared" si="58"/>
        <v>169</v>
      </c>
      <c r="C655" s="62" t="s">
        <v>52</v>
      </c>
      <c r="D655" s="62" t="s">
        <v>766</v>
      </c>
      <c r="E655" s="88">
        <f t="shared" si="56"/>
        <v>37654765.555317692</v>
      </c>
      <c r="F655" s="64"/>
      <c r="G655" s="64"/>
      <c r="H655" s="64">
        <v>0</v>
      </c>
      <c r="I655" s="64">
        <v>0</v>
      </c>
      <c r="J655" s="64">
        <v>2013086.9508788427</v>
      </c>
      <c r="K655" s="64"/>
      <c r="L655" s="64"/>
      <c r="M655" s="64">
        <v>0</v>
      </c>
      <c r="N655" s="64"/>
      <c r="O655" s="64">
        <v>0</v>
      </c>
      <c r="P655" s="64">
        <v>34115262.518798999</v>
      </c>
      <c r="Q655" s="64"/>
      <c r="R655" s="64"/>
      <c r="S655" s="65"/>
      <c r="T655" s="66">
        <v>1526416.085639846</v>
      </c>
      <c r="U655" s="67"/>
    </row>
    <row r="656" spans="1:21" s="75" customFormat="1" x14ac:dyDescent="0.25">
      <c r="A656" s="60">
        <f t="shared" si="57"/>
        <v>628</v>
      </c>
      <c r="B656" s="61">
        <f t="shared" si="58"/>
        <v>170</v>
      </c>
      <c r="C656" s="62" t="s">
        <v>52</v>
      </c>
      <c r="D656" s="62" t="s">
        <v>1099</v>
      </c>
      <c r="E656" s="63">
        <f t="shared" si="56"/>
        <v>2049950.8889439998</v>
      </c>
      <c r="F656" s="64"/>
      <c r="G656" s="64"/>
      <c r="H656" s="64"/>
      <c r="I656" s="64"/>
      <c r="J656" s="64">
        <v>2006081.9399205982</v>
      </c>
      <c r="K656" s="64"/>
      <c r="L656" s="64"/>
      <c r="M656" s="64"/>
      <c r="N656" s="64"/>
      <c r="O656" s="64"/>
      <c r="P656" s="64"/>
      <c r="Q656" s="97"/>
      <c r="R656" s="64"/>
      <c r="S656" s="64"/>
      <c r="T656" s="96">
        <f>43868.9490234015</f>
        <v>43868.949023401503</v>
      </c>
      <c r="U656" s="67"/>
    </row>
    <row r="657" spans="1:21" x14ac:dyDescent="0.25">
      <c r="A657" s="60">
        <f t="shared" si="57"/>
        <v>629</v>
      </c>
      <c r="B657" s="61">
        <f t="shared" si="58"/>
        <v>171</v>
      </c>
      <c r="C657" s="62" t="s">
        <v>52</v>
      </c>
      <c r="D657" s="62" t="s">
        <v>1146</v>
      </c>
      <c r="E657" s="88">
        <f t="shared" si="56"/>
        <v>6507525.8595053386</v>
      </c>
      <c r="F657" s="64">
        <v>6068202.4410059536</v>
      </c>
      <c r="G657" s="64">
        <v>0</v>
      </c>
      <c r="H657" s="64">
        <v>0</v>
      </c>
      <c r="I657" s="64">
        <v>0</v>
      </c>
      <c r="J657" s="64">
        <v>0</v>
      </c>
      <c r="K657" s="64">
        <v>0</v>
      </c>
      <c r="L657" s="64">
        <v>314554.40909568005</v>
      </c>
      <c r="M657" s="64">
        <v>0</v>
      </c>
      <c r="N657" s="64">
        <v>0</v>
      </c>
      <c r="O657" s="64">
        <v>0</v>
      </c>
      <c r="P657" s="64">
        <v>0</v>
      </c>
      <c r="Q657" s="64">
        <v>0</v>
      </c>
      <c r="R657" s="64"/>
      <c r="S657" s="64"/>
      <c r="T657" s="66">
        <v>124769.00940370458</v>
      </c>
      <c r="U657" s="67"/>
    </row>
    <row r="658" spans="1:21" x14ac:dyDescent="0.25">
      <c r="A658" s="60">
        <f t="shared" si="57"/>
        <v>630</v>
      </c>
      <c r="B658" s="61">
        <f t="shared" si="58"/>
        <v>172</v>
      </c>
      <c r="C658" s="62" t="s">
        <v>52</v>
      </c>
      <c r="D658" s="62" t="s">
        <v>730</v>
      </c>
      <c r="E658" s="88">
        <f t="shared" si="56"/>
        <v>20146121.863996748</v>
      </c>
      <c r="F658" s="64">
        <v>0</v>
      </c>
      <c r="G658" s="64"/>
      <c r="H658" s="64">
        <v>0</v>
      </c>
      <c r="I658" s="64"/>
      <c r="J658" s="64">
        <v>1007894.07</v>
      </c>
      <c r="K658" s="64"/>
      <c r="L658" s="64"/>
      <c r="M658" s="64">
        <v>0</v>
      </c>
      <c r="N658" s="64">
        <v>0</v>
      </c>
      <c r="O658" s="64">
        <v>0</v>
      </c>
      <c r="P658" s="64">
        <v>16591013.299129495</v>
      </c>
      <c r="Q658" s="64"/>
      <c r="R658" s="64">
        <v>1796136.5285136958</v>
      </c>
      <c r="S658" s="64">
        <v>191715.22968136959</v>
      </c>
      <c r="T658" s="66">
        <v>559362.7366721906</v>
      </c>
      <c r="U658" s="67"/>
    </row>
    <row r="659" spans="1:21" s="75" customFormat="1" x14ac:dyDescent="0.25">
      <c r="A659" s="60">
        <f t="shared" si="57"/>
        <v>631</v>
      </c>
      <c r="B659" s="61">
        <f t="shared" si="58"/>
        <v>173</v>
      </c>
      <c r="C659" s="62" t="s">
        <v>52</v>
      </c>
      <c r="D659" s="62" t="s">
        <v>731</v>
      </c>
      <c r="E659" s="63">
        <f>SUBTOTAL(9,F659:T659)</f>
        <v>2151481.9070239998</v>
      </c>
      <c r="F659" s="72"/>
      <c r="G659" s="72"/>
      <c r="H659" s="72"/>
      <c r="I659" s="72"/>
      <c r="J659" s="64">
        <v>1843469.3852256862</v>
      </c>
      <c r="K659" s="64"/>
      <c r="L659" s="64"/>
      <c r="M659" s="64"/>
      <c r="N659" s="64"/>
      <c r="O659" s="64"/>
      <c r="P659" s="64"/>
      <c r="Q659" s="64"/>
      <c r="R659" s="64">
        <v>267699.57999999996</v>
      </c>
      <c r="S659" s="64"/>
      <c r="T659" s="96">
        <v>40312.941798313601</v>
      </c>
      <c r="U659" s="67"/>
    </row>
    <row r="660" spans="1:21" s="75" customFormat="1" x14ac:dyDescent="0.25">
      <c r="A660" s="60">
        <f t="shared" si="57"/>
        <v>632</v>
      </c>
      <c r="B660" s="61">
        <f t="shared" si="58"/>
        <v>174</v>
      </c>
      <c r="C660" s="62" t="s">
        <v>52</v>
      </c>
      <c r="D660" s="62" t="s">
        <v>732</v>
      </c>
      <c r="E660" s="63">
        <f>SUBTOTAL(9,F660:T660)</f>
        <v>2154465.066112</v>
      </c>
      <c r="F660" s="72"/>
      <c r="G660" s="72"/>
      <c r="H660" s="72"/>
      <c r="I660" s="72"/>
      <c r="J660" s="64">
        <v>1847918.7164512032</v>
      </c>
      <c r="K660" s="64"/>
      <c r="L660" s="64"/>
      <c r="M660" s="64"/>
      <c r="N660" s="64"/>
      <c r="O660" s="64"/>
      <c r="P660" s="64"/>
      <c r="Q660" s="64"/>
      <c r="R660" s="64">
        <v>266136.11</v>
      </c>
      <c r="S660" s="64"/>
      <c r="T660" s="96">
        <v>40410.239660796804</v>
      </c>
      <c r="U660" s="67"/>
    </row>
    <row r="661" spans="1:21" s="75" customFormat="1" x14ac:dyDescent="0.25">
      <c r="A661" s="60">
        <f t="shared" si="57"/>
        <v>633</v>
      </c>
      <c r="B661" s="61">
        <f t="shared" si="58"/>
        <v>175</v>
      </c>
      <c r="C661" s="62" t="s">
        <v>52</v>
      </c>
      <c r="D661" s="62" t="s">
        <v>733</v>
      </c>
      <c r="E661" s="63">
        <f t="shared" ref="E661:E663" si="61">SUBTOTAL(9,F661:T661)</f>
        <v>22787709.53558762</v>
      </c>
      <c r="F661" s="72"/>
      <c r="G661" s="72"/>
      <c r="H661" s="72"/>
      <c r="I661" s="64"/>
      <c r="J661" s="94">
        <v>1197372.1000000001</v>
      </c>
      <c r="K661" s="64"/>
      <c r="L661" s="64"/>
      <c r="M661" s="64"/>
      <c r="N661" s="64"/>
      <c r="O661" s="64"/>
      <c r="P661" s="94">
        <v>20928919.98</v>
      </c>
      <c r="Q661" s="64"/>
      <c r="R661" s="64"/>
      <c r="S661" s="64"/>
      <c r="T661" s="96">
        <v>661417.45558761922</v>
      </c>
      <c r="U661" s="67"/>
    </row>
    <row r="662" spans="1:21" x14ac:dyDescent="0.25">
      <c r="A662" s="60">
        <f t="shared" si="57"/>
        <v>634</v>
      </c>
      <c r="B662" s="61">
        <f t="shared" si="58"/>
        <v>176</v>
      </c>
      <c r="C662" s="62" t="s">
        <v>52</v>
      </c>
      <c r="D662" s="62" t="s">
        <v>1051</v>
      </c>
      <c r="E662" s="63">
        <f t="shared" si="61"/>
        <v>12989841.419538001</v>
      </c>
      <c r="F662" s="64"/>
      <c r="G662" s="64"/>
      <c r="H662" s="64"/>
      <c r="I662" s="64"/>
      <c r="J662" s="64"/>
      <c r="K662" s="64"/>
      <c r="L662" s="64"/>
      <c r="M662" s="64">
        <v>0</v>
      </c>
      <c r="N662" s="64"/>
      <c r="O662" s="64">
        <v>0</v>
      </c>
      <c r="P662" s="64"/>
      <c r="Q662" s="64">
        <v>12056585.131878</v>
      </c>
      <c r="R662" s="64"/>
      <c r="S662" s="65"/>
      <c r="T662" s="66">
        <v>933256.28766000003</v>
      </c>
      <c r="U662" s="67"/>
    </row>
    <row r="663" spans="1:21" x14ac:dyDescent="0.25">
      <c r="A663" s="60">
        <f t="shared" si="57"/>
        <v>635</v>
      </c>
      <c r="B663" s="61">
        <f t="shared" si="58"/>
        <v>177</v>
      </c>
      <c r="C663" s="62" t="s">
        <v>52</v>
      </c>
      <c r="D663" s="62" t="s">
        <v>1052</v>
      </c>
      <c r="E663" s="63">
        <f t="shared" si="61"/>
        <v>2202974.3462407398</v>
      </c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>
        <v>1144560.06</v>
      </c>
      <c r="R663" s="64"/>
      <c r="S663" s="65"/>
      <c r="T663" s="66">
        <v>1058414.2862407397</v>
      </c>
      <c r="U663" s="67"/>
    </row>
    <row r="664" spans="1:21" x14ac:dyDescent="0.25">
      <c r="A664" s="60">
        <f t="shared" si="57"/>
        <v>636</v>
      </c>
      <c r="B664" s="61">
        <f t="shared" si="58"/>
        <v>178</v>
      </c>
      <c r="C664" s="62" t="s">
        <v>52</v>
      </c>
      <c r="D664" s="62" t="s">
        <v>705</v>
      </c>
      <c r="E664" s="88">
        <f t="shared" si="56"/>
        <v>19688769.921190277</v>
      </c>
      <c r="F664" s="64"/>
      <c r="G664" s="64"/>
      <c r="H664" s="64"/>
      <c r="I664" s="64"/>
      <c r="J664" s="64"/>
      <c r="K664" s="64"/>
      <c r="L664" s="64"/>
      <c r="M664" s="64">
        <v>0</v>
      </c>
      <c r="N664" s="64">
        <v>0</v>
      </c>
      <c r="O664" s="64">
        <v>0</v>
      </c>
      <c r="P664" s="64">
        <v>19267430.244876806</v>
      </c>
      <c r="Q664" s="64">
        <v>0</v>
      </c>
      <c r="R664" s="64"/>
      <c r="S664" s="65"/>
      <c r="T664" s="66">
        <v>421339.67631347192</v>
      </c>
      <c r="U664" s="67"/>
    </row>
    <row r="665" spans="1:21" x14ac:dyDescent="0.25">
      <c r="A665" s="60">
        <f t="shared" si="57"/>
        <v>637</v>
      </c>
      <c r="B665" s="61">
        <f t="shared" si="58"/>
        <v>179</v>
      </c>
      <c r="C665" s="62" t="s">
        <v>52</v>
      </c>
      <c r="D665" s="62" t="s">
        <v>734</v>
      </c>
      <c r="E665" s="88">
        <f t="shared" si="56"/>
        <v>18827653.340890028</v>
      </c>
      <c r="F665" s="64"/>
      <c r="G665" s="64"/>
      <c r="H665" s="64"/>
      <c r="I665" s="64"/>
      <c r="J665" s="64"/>
      <c r="K665" s="64"/>
      <c r="L665" s="64"/>
      <c r="M665" s="64">
        <v>0</v>
      </c>
      <c r="N665" s="64">
        <v>0</v>
      </c>
      <c r="O665" s="64">
        <v>0</v>
      </c>
      <c r="P665" s="64">
        <v>18389791.475693647</v>
      </c>
      <c r="Q665" s="64">
        <v>0</v>
      </c>
      <c r="R665" s="64"/>
      <c r="S665" s="65"/>
      <c r="T665" s="66">
        <v>437861.86519638228</v>
      </c>
      <c r="U665" s="67"/>
    </row>
    <row r="666" spans="1:21" x14ac:dyDescent="0.25">
      <c r="A666" s="60">
        <f t="shared" si="57"/>
        <v>638</v>
      </c>
      <c r="B666" s="61">
        <f t="shared" si="58"/>
        <v>180</v>
      </c>
      <c r="C666" s="62" t="s">
        <v>52</v>
      </c>
      <c r="D666" s="62" t="s">
        <v>1050</v>
      </c>
      <c r="E666" s="88">
        <f t="shared" si="56"/>
        <v>81493773.256659895</v>
      </c>
      <c r="F666" s="64">
        <v>17221734.28113259</v>
      </c>
      <c r="G666" s="64">
        <v>6964417.7973911939</v>
      </c>
      <c r="H666" s="64">
        <v>7361880.4179572817</v>
      </c>
      <c r="I666" s="64">
        <v>5613454.0810143603</v>
      </c>
      <c r="J666" s="64"/>
      <c r="K666" s="64"/>
      <c r="L666" s="64">
        <v>660810.72921234637</v>
      </c>
      <c r="M666" s="64">
        <v>0</v>
      </c>
      <c r="N666" s="64">
        <v>0</v>
      </c>
      <c r="O666" s="64">
        <v>0</v>
      </c>
      <c r="P666" s="64">
        <v>41620263.447435759</v>
      </c>
      <c r="Q666" s="64"/>
      <c r="R666" s="64">
        <v>290539.34000000003</v>
      </c>
      <c r="S666" s="65">
        <v>24000</v>
      </c>
      <c r="T666" s="66">
        <v>1736673.1625163557</v>
      </c>
      <c r="U666" s="67"/>
    </row>
    <row r="667" spans="1:21" x14ac:dyDescent="0.25">
      <c r="A667" s="60">
        <f t="shared" si="57"/>
        <v>639</v>
      </c>
      <c r="B667" s="61">
        <f t="shared" si="58"/>
        <v>181</v>
      </c>
      <c r="C667" s="62" t="s">
        <v>52</v>
      </c>
      <c r="D667" s="62" t="s">
        <v>767</v>
      </c>
      <c r="E667" s="88">
        <f t="shared" si="56"/>
        <v>6961041.8632540004</v>
      </c>
      <c r="F667" s="64">
        <v>6278778.3834300004</v>
      </c>
      <c r="G667" s="64"/>
      <c r="H667" s="64"/>
      <c r="I667" s="64"/>
      <c r="J667" s="64"/>
      <c r="K667" s="64"/>
      <c r="L667" s="64">
        <v>285559.1703006</v>
      </c>
      <c r="M667" s="64">
        <v>0</v>
      </c>
      <c r="N667" s="64">
        <v>0</v>
      </c>
      <c r="O667" s="64">
        <v>0</v>
      </c>
      <c r="P667" s="64">
        <v>0</v>
      </c>
      <c r="Q667" s="64">
        <v>0</v>
      </c>
      <c r="R667" s="64">
        <v>78950.87950000001</v>
      </c>
      <c r="S667" s="65">
        <v>20977.589500000002</v>
      </c>
      <c r="T667" s="66">
        <v>296775.84052339999</v>
      </c>
      <c r="U667" s="67"/>
    </row>
    <row r="668" spans="1:21" x14ac:dyDescent="0.25">
      <c r="A668" s="60">
        <f t="shared" si="57"/>
        <v>640</v>
      </c>
      <c r="B668" s="61">
        <f t="shared" si="58"/>
        <v>182</v>
      </c>
      <c r="C668" s="62" t="s">
        <v>52</v>
      </c>
      <c r="D668" s="62" t="s">
        <v>707</v>
      </c>
      <c r="E668" s="88">
        <f t="shared" si="56"/>
        <v>20288255.938115433</v>
      </c>
      <c r="F668" s="64"/>
      <c r="G668" s="64"/>
      <c r="H668" s="64"/>
      <c r="I668" s="64"/>
      <c r="J668" s="64"/>
      <c r="K668" s="64"/>
      <c r="L668" s="64"/>
      <c r="M668" s="64">
        <v>0</v>
      </c>
      <c r="N668" s="64">
        <v>0</v>
      </c>
      <c r="O668" s="64">
        <v>0</v>
      </c>
      <c r="P668" s="64">
        <v>19819142.883416064</v>
      </c>
      <c r="Q668" s="64">
        <v>0</v>
      </c>
      <c r="R668" s="64"/>
      <c r="S668" s="65"/>
      <c r="T668" s="66">
        <v>469113.05469936703</v>
      </c>
      <c r="U668" s="67"/>
    </row>
    <row r="669" spans="1:21" x14ac:dyDescent="0.25">
      <c r="A669" s="60">
        <f t="shared" si="57"/>
        <v>641</v>
      </c>
      <c r="B669" s="61">
        <f t="shared" si="58"/>
        <v>183</v>
      </c>
      <c r="C669" s="62" t="s">
        <v>52</v>
      </c>
      <c r="D669" s="62" t="s">
        <v>769</v>
      </c>
      <c r="E669" s="88">
        <f t="shared" si="56"/>
        <v>11942305.436976908</v>
      </c>
      <c r="F669" s="64">
        <v>5297559.1729573756</v>
      </c>
      <c r="G669" s="64">
        <v>2147559.4265640476</v>
      </c>
      <c r="H669" s="64">
        <v>2251281.7566385437</v>
      </c>
      <c r="I669" s="64">
        <v>1797107.10810288</v>
      </c>
      <c r="J669" s="64">
        <v>0</v>
      </c>
      <c r="K669" s="64"/>
      <c r="L669" s="64">
        <v>193232.63636275491</v>
      </c>
      <c r="M669" s="64">
        <v>0</v>
      </c>
      <c r="N669" s="64"/>
      <c r="O669" s="64"/>
      <c r="P669" s="64"/>
      <c r="Q669" s="64">
        <v>0</v>
      </c>
      <c r="R669" s="64"/>
      <c r="S669" s="65"/>
      <c r="T669" s="66">
        <v>255565.33635130583</v>
      </c>
      <c r="U669" s="67"/>
    </row>
    <row r="670" spans="1:21" x14ac:dyDescent="0.25">
      <c r="A670" s="60">
        <f t="shared" si="57"/>
        <v>642</v>
      </c>
      <c r="B670" s="61">
        <f t="shared" si="58"/>
        <v>184</v>
      </c>
      <c r="C670" s="62" t="s">
        <v>1187</v>
      </c>
      <c r="D670" s="23" t="s">
        <v>977</v>
      </c>
      <c r="E670" s="88">
        <f t="shared" si="56"/>
        <v>13247749.999935677</v>
      </c>
      <c r="N670" s="64">
        <v>4736947.1480659954</v>
      </c>
      <c r="P670" s="64">
        <v>8083838.6084949747</v>
      </c>
      <c r="R670" s="64"/>
      <c r="S670" s="65">
        <v>146599.62535876004</v>
      </c>
      <c r="T670" s="66">
        <v>280364.61801594601</v>
      </c>
      <c r="U670" s="67"/>
    </row>
    <row r="671" spans="1:21" x14ac:dyDescent="0.25">
      <c r="A671" s="60">
        <f t="shared" si="57"/>
        <v>643</v>
      </c>
      <c r="B671" s="61">
        <f t="shared" si="58"/>
        <v>185</v>
      </c>
      <c r="C671" s="62" t="s">
        <v>1187</v>
      </c>
      <c r="D671" s="23" t="s">
        <v>978</v>
      </c>
      <c r="E671" s="88">
        <f t="shared" si="56"/>
        <v>12805799.023534242</v>
      </c>
      <c r="N671" s="64">
        <v>4578920.4327928424</v>
      </c>
      <c r="P671" s="64">
        <v>7814158.0690740691</v>
      </c>
      <c r="R671" s="64"/>
      <c r="S671" s="65">
        <v>141708.99505793891</v>
      </c>
      <c r="T671" s="66">
        <v>271011.52660939295</v>
      </c>
      <c r="U671" s="67"/>
    </row>
    <row r="672" spans="1:21" x14ac:dyDescent="0.25">
      <c r="A672" s="60">
        <f t="shared" si="57"/>
        <v>644</v>
      </c>
      <c r="B672" s="61">
        <f t="shared" si="58"/>
        <v>186</v>
      </c>
      <c r="C672" s="62" t="s">
        <v>1187</v>
      </c>
      <c r="D672" s="23" t="s">
        <v>976</v>
      </c>
      <c r="E672" s="88">
        <f t="shared" si="56"/>
        <v>13743597.436873876</v>
      </c>
      <c r="N672" s="64">
        <v>4914245.4139822163</v>
      </c>
      <c r="P672" s="64">
        <v>8386407.0185769713</v>
      </c>
      <c r="R672" s="64"/>
      <c r="S672" s="65">
        <v>152086.67398894962</v>
      </c>
      <c r="T672" s="66">
        <v>290858.33032573742</v>
      </c>
      <c r="U672" s="67"/>
    </row>
    <row r="673" spans="1:21" x14ac:dyDescent="0.25">
      <c r="A673" s="60">
        <f t="shared" si="57"/>
        <v>645</v>
      </c>
      <c r="B673" s="61">
        <f t="shared" si="58"/>
        <v>187</v>
      </c>
      <c r="C673" s="62" t="s">
        <v>53</v>
      </c>
      <c r="D673" s="62" t="s">
        <v>792</v>
      </c>
      <c r="E673" s="88">
        <f t="shared" si="56"/>
        <v>620383.78927532339</v>
      </c>
      <c r="F673" s="64"/>
      <c r="G673" s="64"/>
      <c r="H673" s="64">
        <v>607107.57618483144</v>
      </c>
      <c r="I673" s="64"/>
      <c r="J673" s="64"/>
      <c r="K673" s="64"/>
      <c r="L673" s="64"/>
      <c r="M673" s="64">
        <v>0</v>
      </c>
      <c r="N673" s="64">
        <v>0</v>
      </c>
      <c r="O673" s="64">
        <v>0</v>
      </c>
      <c r="P673" s="64">
        <v>0</v>
      </c>
      <c r="Q673" s="64">
        <v>0</v>
      </c>
      <c r="R673" s="64"/>
      <c r="S673" s="65"/>
      <c r="T673" s="66">
        <v>13276.213090491921</v>
      </c>
      <c r="U673" s="67"/>
    </row>
    <row r="674" spans="1:21" x14ac:dyDescent="0.25">
      <c r="A674" s="60">
        <f t="shared" si="57"/>
        <v>646</v>
      </c>
      <c r="B674" s="61">
        <f t="shared" si="58"/>
        <v>188</v>
      </c>
      <c r="C674" s="62" t="s">
        <v>64</v>
      </c>
      <c r="D674" s="62" t="s">
        <v>781</v>
      </c>
      <c r="E674" s="88">
        <f t="shared" si="56"/>
        <v>4159569.7264373754</v>
      </c>
      <c r="F674" s="64">
        <v>2486057.1210043277</v>
      </c>
      <c r="G674" s="64">
        <v>0</v>
      </c>
      <c r="H674" s="64">
        <v>712801.23633926117</v>
      </c>
      <c r="I674" s="64">
        <v>607467.74786197429</v>
      </c>
      <c r="J674" s="64">
        <v>0</v>
      </c>
      <c r="K674" s="64"/>
      <c r="L674" s="64">
        <v>264228.82908605208</v>
      </c>
      <c r="M674" s="64">
        <v>0</v>
      </c>
      <c r="N674" s="64">
        <v>0</v>
      </c>
      <c r="O674" s="64">
        <v>0</v>
      </c>
      <c r="P674" s="64">
        <v>0</v>
      </c>
      <c r="Q674" s="64">
        <v>0</v>
      </c>
      <c r="R674" s="64"/>
      <c r="S674" s="65"/>
      <c r="T674" s="66">
        <v>89014.792145759842</v>
      </c>
      <c r="U674" s="67"/>
    </row>
    <row r="675" spans="1:21" x14ac:dyDescent="0.25">
      <c r="A675" s="60">
        <f t="shared" si="57"/>
        <v>647</v>
      </c>
      <c r="B675" s="61">
        <f t="shared" si="58"/>
        <v>189</v>
      </c>
      <c r="C675" s="62" t="s">
        <v>64</v>
      </c>
      <c r="D675" s="62" t="s">
        <v>777</v>
      </c>
      <c r="E675" s="88">
        <f t="shared" si="56"/>
        <v>857576.76322875964</v>
      </c>
      <c r="F675" s="64"/>
      <c r="G675" s="64"/>
      <c r="H675" s="64">
        <v>839224.62049566419</v>
      </c>
      <c r="I675" s="64"/>
      <c r="J675" s="64">
        <v>0</v>
      </c>
      <c r="K675" s="64"/>
      <c r="L675" s="64"/>
      <c r="M675" s="64">
        <v>0</v>
      </c>
      <c r="N675" s="64">
        <v>0</v>
      </c>
      <c r="O675" s="64">
        <v>0</v>
      </c>
      <c r="P675" s="64">
        <v>0</v>
      </c>
      <c r="Q675" s="64">
        <v>0</v>
      </c>
      <c r="R675" s="64"/>
      <c r="S675" s="65"/>
      <c r="T675" s="66">
        <v>18352.142733095458</v>
      </c>
      <c r="U675" s="67"/>
    </row>
    <row r="676" spans="1:21" x14ac:dyDescent="0.25">
      <c r="A676" s="60">
        <f t="shared" si="57"/>
        <v>648</v>
      </c>
      <c r="B676" s="61">
        <f t="shared" si="58"/>
        <v>190</v>
      </c>
      <c r="C676" s="62" t="s">
        <v>54</v>
      </c>
      <c r="D676" s="62" t="s">
        <v>793</v>
      </c>
      <c r="E676" s="88">
        <f t="shared" si="56"/>
        <v>4725406.3033073302</v>
      </c>
      <c r="F676" s="64">
        <v>2059043.8528968147</v>
      </c>
      <c r="G676" s="64">
        <v>1252899.447298368</v>
      </c>
      <c r="H676" s="64">
        <v>590368.17441615427</v>
      </c>
      <c r="I676" s="64">
        <v>503127.10898732929</v>
      </c>
      <c r="J676" s="64">
        <v>0</v>
      </c>
      <c r="K676" s="64"/>
      <c r="L676" s="64">
        <v>218844.02481788813</v>
      </c>
      <c r="M676" s="64">
        <v>0</v>
      </c>
      <c r="N676" s="64">
        <v>0</v>
      </c>
      <c r="O676" s="64">
        <v>0</v>
      </c>
      <c r="P676" s="64">
        <v>0</v>
      </c>
      <c r="Q676" s="64">
        <v>0</v>
      </c>
      <c r="R676" s="64"/>
      <c r="S676" s="65"/>
      <c r="T676" s="66">
        <v>101123.6948907769</v>
      </c>
      <c r="U676" s="67"/>
    </row>
    <row r="677" spans="1:21" x14ac:dyDescent="0.25">
      <c r="A677" s="60">
        <f t="shared" si="57"/>
        <v>649</v>
      </c>
      <c r="B677" s="61">
        <f t="shared" si="58"/>
        <v>191</v>
      </c>
      <c r="C677" s="62" t="s">
        <v>55</v>
      </c>
      <c r="D677" s="62" t="s">
        <v>202</v>
      </c>
      <c r="E677" s="88">
        <f t="shared" si="56"/>
        <v>749159.6821158001</v>
      </c>
      <c r="F677" s="64">
        <v>0</v>
      </c>
      <c r="G677" s="64">
        <v>0</v>
      </c>
      <c r="H677" s="64">
        <v>733127.664918522</v>
      </c>
      <c r="I677" s="64">
        <v>0</v>
      </c>
      <c r="J677" s="64">
        <v>0</v>
      </c>
      <c r="K677" s="64"/>
      <c r="L677" s="64"/>
      <c r="M677" s="64">
        <v>0</v>
      </c>
      <c r="N677" s="64">
        <v>0</v>
      </c>
      <c r="O677" s="64">
        <v>0</v>
      </c>
      <c r="P677" s="64">
        <v>0</v>
      </c>
      <c r="Q677" s="64">
        <v>0</v>
      </c>
      <c r="R677" s="64"/>
      <c r="S677" s="65"/>
      <c r="T677" s="66">
        <v>16032.017197278123</v>
      </c>
      <c r="U677" s="67"/>
    </row>
    <row r="678" spans="1:21" x14ac:dyDescent="0.25">
      <c r="A678" s="60">
        <f t="shared" si="57"/>
        <v>650</v>
      </c>
      <c r="B678" s="61">
        <f t="shared" si="58"/>
        <v>192</v>
      </c>
      <c r="C678" s="62" t="s">
        <v>55</v>
      </c>
      <c r="D678" s="62" t="s">
        <v>203</v>
      </c>
      <c r="E678" s="88">
        <f t="shared" si="56"/>
        <v>683704.67105184752</v>
      </c>
      <c r="F678" s="64">
        <v>0</v>
      </c>
      <c r="G678" s="64">
        <v>0</v>
      </c>
      <c r="H678" s="64">
        <v>669073.39109133801</v>
      </c>
      <c r="I678" s="64">
        <v>0</v>
      </c>
      <c r="J678" s="64">
        <v>0</v>
      </c>
      <c r="K678" s="64"/>
      <c r="L678" s="64"/>
      <c r="M678" s="64">
        <v>0</v>
      </c>
      <c r="N678" s="64">
        <v>0</v>
      </c>
      <c r="O678" s="64">
        <v>0</v>
      </c>
      <c r="P678" s="64">
        <v>0</v>
      </c>
      <c r="Q678" s="64">
        <v>0</v>
      </c>
      <c r="R678" s="64"/>
      <c r="S678" s="65"/>
      <c r="T678" s="66">
        <v>14631.279960509539</v>
      </c>
      <c r="U678" s="67"/>
    </row>
    <row r="679" spans="1:21" x14ac:dyDescent="0.25">
      <c r="A679" s="60">
        <f t="shared" si="57"/>
        <v>651</v>
      </c>
      <c r="B679" s="61">
        <f t="shared" si="58"/>
        <v>193</v>
      </c>
      <c r="C679" s="62" t="s">
        <v>55</v>
      </c>
      <c r="D679" s="62" t="s">
        <v>370</v>
      </c>
      <c r="E679" s="63">
        <f t="shared" si="56"/>
        <v>7087536.49513104</v>
      </c>
      <c r="F679" s="64"/>
      <c r="G679" s="64"/>
      <c r="H679" s="64"/>
      <c r="I679" s="64"/>
      <c r="J679" s="64">
        <v>0</v>
      </c>
      <c r="K679" s="64"/>
      <c r="L679" s="64"/>
      <c r="M679" s="64">
        <v>0</v>
      </c>
      <c r="N679" s="64">
        <v>6850480.8288420001</v>
      </c>
      <c r="O679" s="64">
        <v>0</v>
      </c>
      <c r="P679" s="64">
        <v>0</v>
      </c>
      <c r="Q679" s="64">
        <v>0</v>
      </c>
      <c r="R679" s="64"/>
      <c r="S679" s="65"/>
      <c r="T679" s="66">
        <v>237055.66628903997</v>
      </c>
      <c r="U679" s="67"/>
    </row>
    <row r="680" spans="1:21" x14ac:dyDescent="0.25">
      <c r="A680" s="60">
        <f t="shared" si="57"/>
        <v>652</v>
      </c>
      <c r="B680" s="61">
        <f t="shared" si="58"/>
        <v>194</v>
      </c>
      <c r="C680" s="62" t="s">
        <v>55</v>
      </c>
      <c r="D680" s="62" t="s">
        <v>789</v>
      </c>
      <c r="E680" s="88">
        <f t="shared" si="56"/>
        <v>707527.10419981834</v>
      </c>
      <c r="F680" s="64">
        <v>0</v>
      </c>
      <c r="G680" s="64">
        <v>0</v>
      </c>
      <c r="H680" s="64">
        <v>692386.02416994225</v>
      </c>
      <c r="I680" s="64">
        <v>0</v>
      </c>
      <c r="J680" s="64">
        <v>0</v>
      </c>
      <c r="K680" s="64"/>
      <c r="L680" s="64"/>
      <c r="M680" s="64">
        <v>0</v>
      </c>
      <c r="N680" s="64">
        <v>0</v>
      </c>
      <c r="O680" s="64">
        <v>0</v>
      </c>
      <c r="P680" s="64">
        <v>0</v>
      </c>
      <c r="Q680" s="64">
        <v>0</v>
      </c>
      <c r="R680" s="64"/>
      <c r="S680" s="65"/>
      <c r="T680" s="66">
        <v>15141.080029876113</v>
      </c>
      <c r="U680" s="67"/>
    </row>
    <row r="681" spans="1:21" x14ac:dyDescent="0.25">
      <c r="A681" s="60">
        <f t="shared" ref="A681:A744" si="62">+A680+1</f>
        <v>653</v>
      </c>
      <c r="B681" s="61">
        <f t="shared" ref="B681:B744" si="63">+B680+1</f>
        <v>195</v>
      </c>
      <c r="C681" s="62" t="s">
        <v>55</v>
      </c>
      <c r="D681" s="62" t="s">
        <v>790</v>
      </c>
      <c r="E681" s="88">
        <f t="shared" si="56"/>
        <v>2130214.1386997006</v>
      </c>
      <c r="F681" s="64">
        <v>0</v>
      </c>
      <c r="G681" s="64">
        <v>0</v>
      </c>
      <c r="H681" s="64"/>
      <c r="I681" s="64">
        <v>0</v>
      </c>
      <c r="J681" s="64">
        <v>0</v>
      </c>
      <c r="K681" s="64"/>
      <c r="L681" s="64"/>
      <c r="M681" s="64">
        <v>0</v>
      </c>
      <c r="N681" s="64">
        <v>0</v>
      </c>
      <c r="O681" s="64">
        <v>0</v>
      </c>
      <c r="P681" s="64">
        <v>0</v>
      </c>
      <c r="Q681" s="64">
        <v>2084627.5561315271</v>
      </c>
      <c r="R681" s="64"/>
      <c r="S681" s="65"/>
      <c r="T681" s="66">
        <v>45586.582568173595</v>
      </c>
      <c r="U681" s="67"/>
    </row>
    <row r="682" spans="1:21" x14ac:dyDescent="0.25">
      <c r="A682" s="60">
        <f t="shared" si="62"/>
        <v>654</v>
      </c>
      <c r="B682" s="61">
        <f t="shared" si="63"/>
        <v>196</v>
      </c>
      <c r="C682" s="62" t="s">
        <v>55</v>
      </c>
      <c r="D682" s="62" t="s">
        <v>791</v>
      </c>
      <c r="E682" s="88">
        <f t="shared" si="56"/>
        <v>3122988.6782967336</v>
      </c>
      <c r="F682" s="64">
        <v>0</v>
      </c>
      <c r="G682" s="64">
        <v>0</v>
      </c>
      <c r="H682" s="64">
        <v>3056156.7205811837</v>
      </c>
      <c r="I682" s="64">
        <v>0</v>
      </c>
      <c r="J682" s="64">
        <v>0</v>
      </c>
      <c r="K682" s="64"/>
      <c r="L682" s="64"/>
      <c r="M682" s="64">
        <v>0</v>
      </c>
      <c r="N682" s="64">
        <v>0</v>
      </c>
      <c r="O682" s="64">
        <v>0</v>
      </c>
      <c r="P682" s="64">
        <v>0</v>
      </c>
      <c r="Q682" s="64">
        <v>0</v>
      </c>
      <c r="R682" s="64"/>
      <c r="S682" s="65"/>
      <c r="T682" s="66">
        <v>66831.957715550103</v>
      </c>
      <c r="U682" s="67"/>
    </row>
    <row r="683" spans="1:21" x14ac:dyDescent="0.25">
      <c r="A683" s="60">
        <f t="shared" si="62"/>
        <v>655</v>
      </c>
      <c r="B683" s="61">
        <f t="shared" si="63"/>
        <v>197</v>
      </c>
      <c r="C683" s="62" t="s">
        <v>55</v>
      </c>
      <c r="D683" s="62" t="s">
        <v>371</v>
      </c>
      <c r="E683" s="88">
        <f t="shared" si="56"/>
        <v>5313726.6901692664</v>
      </c>
      <c r="F683" s="64">
        <v>2358976.6817569626</v>
      </c>
      <c r="G683" s="64">
        <v>1427054.7794963236</v>
      </c>
      <c r="H683" s="64">
        <v>571344.40088906721</v>
      </c>
      <c r="I683" s="64">
        <v>585497.25201964681</v>
      </c>
      <c r="J683" s="64">
        <v>0</v>
      </c>
      <c r="K683" s="64"/>
      <c r="L683" s="64">
        <v>257139.82483764473</v>
      </c>
      <c r="M683" s="64">
        <v>0</v>
      </c>
      <c r="N683" s="64">
        <v>0</v>
      </c>
      <c r="O683" s="64">
        <v>0</v>
      </c>
      <c r="P683" s="64">
        <v>0</v>
      </c>
      <c r="Q683" s="64">
        <v>0</v>
      </c>
      <c r="R683" s="64"/>
      <c r="S683" s="65"/>
      <c r="T683" s="66">
        <v>113713.75116962235</v>
      </c>
      <c r="U683" s="67"/>
    </row>
    <row r="684" spans="1:21" x14ac:dyDescent="0.25">
      <c r="A684" s="60">
        <f t="shared" si="62"/>
        <v>656</v>
      </c>
      <c r="B684" s="61">
        <f t="shared" si="63"/>
        <v>198</v>
      </c>
      <c r="C684" s="62" t="s">
        <v>55</v>
      </c>
      <c r="D684" s="62" t="s">
        <v>207</v>
      </c>
      <c r="E684" s="88">
        <f t="shared" si="56"/>
        <v>500481.02237764001</v>
      </c>
      <c r="F684" s="64">
        <v>0</v>
      </c>
      <c r="G684" s="64">
        <v>0</v>
      </c>
      <c r="H684" s="64">
        <v>489770.72849875852</v>
      </c>
      <c r="I684" s="64">
        <v>0</v>
      </c>
      <c r="J684" s="64">
        <v>0</v>
      </c>
      <c r="K684" s="64"/>
      <c r="L684" s="64"/>
      <c r="M684" s="64">
        <v>0</v>
      </c>
      <c r="N684" s="64">
        <v>0</v>
      </c>
      <c r="O684" s="64">
        <v>0</v>
      </c>
      <c r="P684" s="64">
        <v>0</v>
      </c>
      <c r="Q684" s="64">
        <v>0</v>
      </c>
      <c r="R684" s="64"/>
      <c r="S684" s="65"/>
      <c r="T684" s="66">
        <v>10710.293878881495</v>
      </c>
      <c r="U684" s="67"/>
    </row>
    <row r="685" spans="1:21" x14ac:dyDescent="0.25">
      <c r="A685" s="60">
        <f t="shared" si="62"/>
        <v>657</v>
      </c>
      <c r="B685" s="61">
        <f t="shared" si="63"/>
        <v>199</v>
      </c>
      <c r="C685" s="62" t="s">
        <v>55</v>
      </c>
      <c r="D685" s="62" t="s">
        <v>208</v>
      </c>
      <c r="E685" s="88">
        <f t="shared" si="56"/>
        <v>523522.52980028105</v>
      </c>
      <c r="F685" s="64">
        <v>0</v>
      </c>
      <c r="G685" s="64">
        <v>0</v>
      </c>
      <c r="H685" s="64">
        <v>512319.14766255504</v>
      </c>
      <c r="I685" s="64">
        <v>0</v>
      </c>
      <c r="J685" s="64">
        <v>0</v>
      </c>
      <c r="K685" s="64"/>
      <c r="L685" s="64"/>
      <c r="M685" s="64">
        <v>0</v>
      </c>
      <c r="N685" s="64">
        <v>0</v>
      </c>
      <c r="O685" s="64">
        <v>0</v>
      </c>
      <c r="P685" s="64">
        <v>0</v>
      </c>
      <c r="Q685" s="64">
        <v>0</v>
      </c>
      <c r="R685" s="64"/>
      <c r="S685" s="65"/>
      <c r="T685" s="66">
        <v>11203.382137726014</v>
      </c>
      <c r="U685" s="67"/>
    </row>
    <row r="686" spans="1:21" x14ac:dyDescent="0.25">
      <c r="A686" s="60">
        <f t="shared" si="62"/>
        <v>658</v>
      </c>
      <c r="B686" s="61">
        <f t="shared" si="63"/>
        <v>200</v>
      </c>
      <c r="C686" s="62" t="s">
        <v>55</v>
      </c>
      <c r="D686" s="62" t="s">
        <v>209</v>
      </c>
      <c r="E686" s="88">
        <f t="shared" ref="E686:E785" si="64">SUBTOTAL(9,F686:T686)</f>
        <v>521641.59041884087</v>
      </c>
      <c r="F686" s="64">
        <v>0</v>
      </c>
      <c r="G686" s="64">
        <v>0</v>
      </c>
      <c r="H686" s="64">
        <v>510478.46038387768</v>
      </c>
      <c r="I686" s="64">
        <v>0</v>
      </c>
      <c r="J686" s="64">
        <v>0</v>
      </c>
      <c r="K686" s="64"/>
      <c r="L686" s="64"/>
      <c r="M686" s="64">
        <v>0</v>
      </c>
      <c r="N686" s="64">
        <v>0</v>
      </c>
      <c r="O686" s="64">
        <v>0</v>
      </c>
      <c r="P686" s="64">
        <v>0</v>
      </c>
      <c r="Q686" s="64">
        <v>0</v>
      </c>
      <c r="R686" s="64"/>
      <c r="S686" s="65"/>
      <c r="T686" s="66">
        <v>11163.130034963195</v>
      </c>
      <c r="U686" s="67"/>
    </row>
    <row r="687" spans="1:21" x14ac:dyDescent="0.25">
      <c r="A687" s="60">
        <f t="shared" si="62"/>
        <v>659</v>
      </c>
      <c r="B687" s="61">
        <f t="shared" si="63"/>
        <v>201</v>
      </c>
      <c r="C687" s="62" t="s">
        <v>54</v>
      </c>
      <c r="D687" s="62" t="s">
        <v>926</v>
      </c>
      <c r="E687" s="88">
        <f t="shared" si="64"/>
        <v>2413255.6491013039</v>
      </c>
      <c r="F687" s="64">
        <v>1956022.0744509301</v>
      </c>
      <c r="G687" s="64">
        <v>0</v>
      </c>
      <c r="H687" s="64">
        <v>0</v>
      </c>
      <c r="I687" s="64">
        <v>0</v>
      </c>
      <c r="J687" s="64">
        <v>0</v>
      </c>
      <c r="K687" s="64"/>
      <c r="L687" s="64">
        <v>207894.42769916952</v>
      </c>
      <c r="M687" s="64">
        <v>0</v>
      </c>
      <c r="N687" s="64">
        <v>0</v>
      </c>
      <c r="O687" s="64">
        <v>0</v>
      </c>
      <c r="P687" s="64">
        <v>0</v>
      </c>
      <c r="Q687" s="64">
        <v>0</v>
      </c>
      <c r="R687" s="64">
        <v>177886.11922984954</v>
      </c>
      <c r="S687" s="65">
        <v>24132.556491013034</v>
      </c>
      <c r="T687" s="66">
        <v>47320.471230341442</v>
      </c>
      <c r="U687" s="67"/>
    </row>
    <row r="688" spans="1:21" x14ac:dyDescent="0.25">
      <c r="A688" s="60">
        <f t="shared" si="62"/>
        <v>660</v>
      </c>
      <c r="B688" s="61">
        <f t="shared" si="63"/>
        <v>202</v>
      </c>
      <c r="C688" s="62" t="s">
        <v>54</v>
      </c>
      <c r="D688" s="62" t="s">
        <v>1147</v>
      </c>
      <c r="E688" s="88">
        <f t="shared" si="64"/>
        <v>3100973.0157528277</v>
      </c>
      <c r="F688" s="64">
        <v>1317992.1013642142</v>
      </c>
      <c r="G688" s="64">
        <v>812946.76704602782</v>
      </c>
      <c r="H688" s="64">
        <v>379638.95355079055</v>
      </c>
      <c r="I688" s="64">
        <v>329956.81482307258</v>
      </c>
      <c r="J688" s="64">
        <v>0</v>
      </c>
      <c r="K688" s="64"/>
      <c r="L688" s="64">
        <v>129150.51650498042</v>
      </c>
      <c r="M688" s="64">
        <v>0</v>
      </c>
      <c r="N688" s="64">
        <v>0</v>
      </c>
      <c r="O688" s="64">
        <v>0</v>
      </c>
      <c r="P688" s="64">
        <v>0</v>
      </c>
      <c r="Q688" s="64">
        <v>0</v>
      </c>
      <c r="R688" s="64">
        <v>41000.181395172825</v>
      </c>
      <c r="S688" s="65">
        <v>25346.681395172825</v>
      </c>
      <c r="T688" s="66">
        <v>64940.999673397149</v>
      </c>
      <c r="U688" s="67"/>
    </row>
    <row r="689" spans="1:21" x14ac:dyDescent="0.25">
      <c r="A689" s="60">
        <f t="shared" si="62"/>
        <v>661</v>
      </c>
      <c r="B689" s="61">
        <f t="shared" si="63"/>
        <v>203</v>
      </c>
      <c r="C689" s="62" t="s">
        <v>54</v>
      </c>
      <c r="D689" s="62" t="s">
        <v>927</v>
      </c>
      <c r="E689" s="88">
        <f t="shared" si="64"/>
        <v>3845462.3064123672</v>
      </c>
      <c r="F689" s="64">
        <v>2560605.405990656</v>
      </c>
      <c r="G689" s="64">
        <v>1040839.3158189601</v>
      </c>
      <c r="H689" s="64">
        <v>0</v>
      </c>
      <c r="I689" s="64">
        <v>0</v>
      </c>
      <c r="J689" s="64">
        <v>0</v>
      </c>
      <c r="K689" s="64"/>
      <c r="L689" s="64">
        <v>93686.498467055586</v>
      </c>
      <c r="M689" s="64">
        <v>0</v>
      </c>
      <c r="N689" s="64"/>
      <c r="O689" s="64">
        <v>0</v>
      </c>
      <c r="P689" s="64">
        <v>0</v>
      </c>
      <c r="Q689" s="64">
        <v>0</v>
      </c>
      <c r="R689" s="64">
        <v>52549.16012695204</v>
      </c>
      <c r="S689" s="65">
        <v>16976.890126952036</v>
      </c>
      <c r="T689" s="66">
        <v>80805.035881791104</v>
      </c>
      <c r="U689" s="67"/>
    </row>
    <row r="690" spans="1:21" x14ac:dyDescent="0.25">
      <c r="A690" s="60">
        <f t="shared" si="62"/>
        <v>662</v>
      </c>
      <c r="B690" s="61">
        <f t="shared" si="63"/>
        <v>204</v>
      </c>
      <c r="C690" s="62" t="s">
        <v>65</v>
      </c>
      <c r="D690" s="62" t="s">
        <v>798</v>
      </c>
      <c r="E690" s="63">
        <f t="shared" ref="E690:E696" si="65">SUBTOTAL(9,F690:T690)</f>
        <v>4035248.7116984078</v>
      </c>
      <c r="F690" s="64">
        <v>3828166.3</v>
      </c>
      <c r="G690" s="64"/>
      <c r="H690" s="64"/>
      <c r="I690" s="64"/>
      <c r="J690" s="64">
        <v>0</v>
      </c>
      <c r="K690" s="64"/>
      <c r="L690" s="64">
        <v>125708.39506661828</v>
      </c>
      <c r="M690" s="64">
        <v>0</v>
      </c>
      <c r="N690" s="64">
        <v>0</v>
      </c>
      <c r="O690" s="64">
        <v>0</v>
      </c>
      <c r="P690" s="64">
        <v>0</v>
      </c>
      <c r="Q690" s="64">
        <v>0</v>
      </c>
      <c r="R690" s="64"/>
      <c r="S690" s="65"/>
      <c r="T690" s="66">
        <v>81374.016631789709</v>
      </c>
      <c r="U690" s="67"/>
    </row>
    <row r="691" spans="1:21" x14ac:dyDescent="0.25">
      <c r="A691" s="60">
        <f t="shared" si="62"/>
        <v>663</v>
      </c>
      <c r="B691" s="61">
        <f t="shared" si="63"/>
        <v>205</v>
      </c>
      <c r="C691" s="62" t="s">
        <v>65</v>
      </c>
      <c r="D691" s="62" t="s">
        <v>801</v>
      </c>
      <c r="E691" s="63">
        <f t="shared" si="65"/>
        <v>1947788.4374377711</v>
      </c>
      <c r="F691" s="64"/>
      <c r="G691" s="64"/>
      <c r="H691" s="64">
        <v>1910484.53</v>
      </c>
      <c r="I691" s="64">
        <v>0</v>
      </c>
      <c r="J691" s="64">
        <v>0</v>
      </c>
      <c r="K691" s="64"/>
      <c r="L691" s="64"/>
      <c r="M691" s="64">
        <v>0</v>
      </c>
      <c r="N691" s="64">
        <v>0</v>
      </c>
      <c r="O691" s="64">
        <v>0</v>
      </c>
      <c r="P691" s="64">
        <v>0</v>
      </c>
      <c r="Q691" s="64">
        <v>0</v>
      </c>
      <c r="R691" s="64"/>
      <c r="S691" s="65"/>
      <c r="T691" s="66">
        <v>37303.907437771006</v>
      </c>
      <c r="U691" s="67"/>
    </row>
    <row r="692" spans="1:21" x14ac:dyDescent="0.25">
      <c r="A692" s="60">
        <f t="shared" si="62"/>
        <v>664</v>
      </c>
      <c r="B692" s="61">
        <f t="shared" si="63"/>
        <v>206</v>
      </c>
      <c r="C692" s="62" t="s">
        <v>65</v>
      </c>
      <c r="D692" s="62" t="s">
        <v>802</v>
      </c>
      <c r="E692" s="63">
        <f t="shared" si="65"/>
        <v>1365207.499136603</v>
      </c>
      <c r="F692" s="64"/>
      <c r="G692" s="64"/>
      <c r="H692" s="64">
        <v>1342966.97</v>
      </c>
      <c r="I692" s="64">
        <v>0</v>
      </c>
      <c r="J692" s="64">
        <v>0</v>
      </c>
      <c r="K692" s="64"/>
      <c r="L692" s="64"/>
      <c r="M692" s="64">
        <v>0</v>
      </c>
      <c r="N692" s="64">
        <v>0</v>
      </c>
      <c r="O692" s="64">
        <v>0</v>
      </c>
      <c r="P692" s="64">
        <v>0</v>
      </c>
      <c r="Q692" s="64">
        <v>0</v>
      </c>
      <c r="R692" s="64"/>
      <c r="S692" s="65"/>
      <c r="T692" s="66">
        <v>22240.529136603051</v>
      </c>
      <c r="U692" s="67"/>
    </row>
    <row r="693" spans="1:21" x14ac:dyDescent="0.25">
      <c r="A693" s="60">
        <f t="shared" si="62"/>
        <v>665</v>
      </c>
      <c r="B693" s="61">
        <f t="shared" si="63"/>
        <v>207</v>
      </c>
      <c r="C693" s="62" t="s">
        <v>65</v>
      </c>
      <c r="D693" s="62" t="s">
        <v>805</v>
      </c>
      <c r="E693" s="63">
        <f t="shared" si="65"/>
        <v>948573.00123749382</v>
      </c>
      <c r="F693" s="64">
        <v>0</v>
      </c>
      <c r="G693" s="64">
        <v>0</v>
      </c>
      <c r="H693" s="64">
        <v>932883.87</v>
      </c>
      <c r="I693" s="64">
        <v>0</v>
      </c>
      <c r="J693" s="64">
        <v>0</v>
      </c>
      <c r="K693" s="64"/>
      <c r="L693" s="64"/>
      <c r="M693" s="64">
        <v>0</v>
      </c>
      <c r="N693" s="64">
        <v>0</v>
      </c>
      <c r="O693" s="64">
        <v>0</v>
      </c>
      <c r="P693" s="64">
        <v>0</v>
      </c>
      <c r="Q693" s="64">
        <v>0</v>
      </c>
      <c r="R693" s="64"/>
      <c r="S693" s="65"/>
      <c r="T693" s="66">
        <v>15689.131237493779</v>
      </c>
      <c r="U693" s="67"/>
    </row>
    <row r="694" spans="1:21" x14ac:dyDescent="0.25">
      <c r="A694" s="60">
        <f t="shared" si="62"/>
        <v>666</v>
      </c>
      <c r="B694" s="61">
        <f t="shared" si="63"/>
        <v>208</v>
      </c>
      <c r="C694" s="62" t="s">
        <v>65</v>
      </c>
      <c r="D694" s="62" t="s">
        <v>383</v>
      </c>
      <c r="E694" s="63">
        <f t="shared" si="65"/>
        <v>21093264.575755343</v>
      </c>
      <c r="F694" s="64">
        <v>0</v>
      </c>
      <c r="G694" s="64">
        <v>0</v>
      </c>
      <c r="H694" s="64">
        <v>0</v>
      </c>
      <c r="I694" s="64">
        <v>0</v>
      </c>
      <c r="J694" s="64">
        <v>0</v>
      </c>
      <c r="K694" s="64"/>
      <c r="L694" s="64"/>
      <c r="M694" s="64">
        <v>0</v>
      </c>
      <c r="N694" s="64">
        <v>20690674.18</v>
      </c>
      <c r="O694" s="64">
        <v>0</v>
      </c>
      <c r="P694" s="64">
        <v>0</v>
      </c>
      <c r="Q694" s="64">
        <v>0</v>
      </c>
      <c r="R694" s="64"/>
      <c r="S694" s="65"/>
      <c r="T694" s="66">
        <v>402590.39575534349</v>
      </c>
      <c r="U694" s="67"/>
    </row>
    <row r="695" spans="1:21" x14ac:dyDescent="0.25">
      <c r="A695" s="60">
        <f t="shared" si="62"/>
        <v>667</v>
      </c>
      <c r="B695" s="61">
        <f t="shared" si="63"/>
        <v>209</v>
      </c>
      <c r="C695" s="62" t="s">
        <v>65</v>
      </c>
      <c r="D695" s="62" t="s">
        <v>807</v>
      </c>
      <c r="E695" s="63">
        <f t="shared" si="65"/>
        <v>951471.1264880274</v>
      </c>
      <c r="F695" s="64"/>
      <c r="G695" s="64"/>
      <c r="H695" s="64">
        <v>935865.11</v>
      </c>
      <c r="I695" s="64">
        <v>0</v>
      </c>
      <c r="J695" s="64">
        <v>0</v>
      </c>
      <c r="K695" s="64"/>
      <c r="L695" s="64"/>
      <c r="M695" s="64">
        <v>0</v>
      </c>
      <c r="N695" s="64">
        <v>0</v>
      </c>
      <c r="O695" s="64">
        <v>0</v>
      </c>
      <c r="P695" s="64"/>
      <c r="Q695" s="64">
        <v>0</v>
      </c>
      <c r="R695" s="64"/>
      <c r="S695" s="65"/>
      <c r="T695" s="66">
        <v>15606.016488027466</v>
      </c>
      <c r="U695" s="67"/>
    </row>
    <row r="696" spans="1:21" x14ac:dyDescent="0.25">
      <c r="A696" s="60">
        <f t="shared" si="62"/>
        <v>668</v>
      </c>
      <c r="B696" s="61">
        <f t="shared" si="63"/>
        <v>210</v>
      </c>
      <c r="C696" s="62" t="s">
        <v>65</v>
      </c>
      <c r="D696" s="62" t="s">
        <v>808</v>
      </c>
      <c r="E696" s="63">
        <f t="shared" si="65"/>
        <v>6917016.3592651244</v>
      </c>
      <c r="F696" s="64"/>
      <c r="G696" s="64"/>
      <c r="H696" s="64">
        <v>0</v>
      </c>
      <c r="I696" s="64">
        <v>0</v>
      </c>
      <c r="J696" s="64">
        <v>0</v>
      </c>
      <c r="K696" s="64"/>
      <c r="L696" s="64"/>
      <c r="M696" s="64">
        <v>0</v>
      </c>
      <c r="N696" s="64">
        <v>6651408.9900000002</v>
      </c>
      <c r="O696" s="64">
        <v>0</v>
      </c>
      <c r="P696" s="64"/>
      <c r="Q696" s="64">
        <v>0</v>
      </c>
      <c r="R696" s="64"/>
      <c r="S696" s="65"/>
      <c r="T696" s="66">
        <v>265607.36926512426</v>
      </c>
      <c r="U696" s="67"/>
    </row>
    <row r="697" spans="1:21" x14ac:dyDescent="0.25">
      <c r="A697" s="60">
        <f t="shared" si="62"/>
        <v>669</v>
      </c>
      <c r="B697" s="61">
        <f t="shared" si="63"/>
        <v>211</v>
      </c>
      <c r="C697" s="62" t="s">
        <v>65</v>
      </c>
      <c r="D697" s="62" t="s">
        <v>809</v>
      </c>
      <c r="E697" s="63">
        <f t="shared" ref="E697" si="66">SUBTOTAL(9,F697:T697)</f>
        <v>1726975.3066505387</v>
      </c>
      <c r="F697" s="64"/>
      <c r="G697" s="64"/>
      <c r="H697" s="64">
        <v>1419024.89</v>
      </c>
      <c r="I697" s="64">
        <v>0</v>
      </c>
      <c r="J697" s="64">
        <v>0</v>
      </c>
      <c r="K697" s="64"/>
      <c r="L697" s="64"/>
      <c r="M697" s="64">
        <v>0</v>
      </c>
      <c r="N697" s="64"/>
      <c r="O697" s="64">
        <v>0</v>
      </c>
      <c r="P697" s="64"/>
      <c r="Q697" s="64">
        <v>0</v>
      </c>
      <c r="R697" s="64"/>
      <c r="S697" s="65"/>
      <c r="T697" s="66">
        <v>307950.4166505388</v>
      </c>
      <c r="U697" s="67"/>
    </row>
    <row r="698" spans="1:21" x14ac:dyDescent="0.25">
      <c r="A698" s="60">
        <f t="shared" si="62"/>
        <v>670</v>
      </c>
      <c r="B698" s="61">
        <f t="shared" si="63"/>
        <v>212</v>
      </c>
      <c r="C698" s="62" t="s">
        <v>65</v>
      </c>
      <c r="D698" s="62" t="s">
        <v>811</v>
      </c>
      <c r="E698" s="63">
        <f>SUBTOTAL(9,F698:T698)</f>
        <v>3592563.7737581315</v>
      </c>
      <c r="F698" s="64">
        <v>0</v>
      </c>
      <c r="G698" s="64">
        <v>0</v>
      </c>
      <c r="H698" s="64">
        <v>3521068.21</v>
      </c>
      <c r="I698" s="64">
        <v>0</v>
      </c>
      <c r="J698" s="64">
        <v>0</v>
      </c>
      <c r="K698" s="64"/>
      <c r="L698" s="64"/>
      <c r="M698" s="64">
        <v>0</v>
      </c>
      <c r="N698" s="64">
        <v>0</v>
      </c>
      <c r="O698" s="64">
        <v>0</v>
      </c>
      <c r="P698" s="64">
        <v>0</v>
      </c>
      <c r="Q698" s="64">
        <v>0</v>
      </c>
      <c r="R698" s="64"/>
      <c r="S698" s="65"/>
      <c r="T698" s="66">
        <v>71495.56375813151</v>
      </c>
      <c r="U698" s="67"/>
    </row>
    <row r="699" spans="1:21" x14ac:dyDescent="0.25">
      <c r="A699" s="60">
        <f t="shared" si="62"/>
        <v>671</v>
      </c>
      <c r="B699" s="61">
        <f t="shared" si="63"/>
        <v>213</v>
      </c>
      <c r="C699" s="62" t="s">
        <v>65</v>
      </c>
      <c r="D699" s="62" t="s">
        <v>219</v>
      </c>
      <c r="E699" s="63">
        <f>SUBTOTAL(9,F699:T699)</f>
        <v>3127146.275568313</v>
      </c>
      <c r="F699" s="64">
        <v>0</v>
      </c>
      <c r="G699" s="64">
        <v>0</v>
      </c>
      <c r="H699" s="64">
        <v>3067621.24</v>
      </c>
      <c r="I699" s="64">
        <v>0</v>
      </c>
      <c r="J699" s="64">
        <v>0</v>
      </c>
      <c r="K699" s="64"/>
      <c r="L699" s="64"/>
      <c r="M699" s="64">
        <v>0</v>
      </c>
      <c r="N699" s="64">
        <v>0</v>
      </c>
      <c r="O699" s="64">
        <v>0</v>
      </c>
      <c r="P699" s="64">
        <v>0</v>
      </c>
      <c r="Q699" s="64">
        <v>0</v>
      </c>
      <c r="R699" s="64"/>
      <c r="S699" s="65"/>
      <c r="T699" s="66">
        <v>59525.035568312909</v>
      </c>
      <c r="U699" s="67"/>
    </row>
    <row r="700" spans="1:21" x14ac:dyDescent="0.25">
      <c r="A700" s="60">
        <f t="shared" si="62"/>
        <v>672</v>
      </c>
      <c r="B700" s="61">
        <f t="shared" si="63"/>
        <v>214</v>
      </c>
      <c r="C700" s="62" t="s">
        <v>56</v>
      </c>
      <c r="D700" s="62" t="s">
        <v>974</v>
      </c>
      <c r="E700" s="88">
        <f t="shared" si="64"/>
        <v>8070837.2089538341</v>
      </c>
      <c r="F700" s="64">
        <v>7187290.3763408214</v>
      </c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>
        <v>645666.97671630676</v>
      </c>
      <c r="S700" s="65">
        <v>80708.372089538345</v>
      </c>
      <c r="T700" s="66">
        <v>157171.48380716695</v>
      </c>
      <c r="U700" s="67"/>
    </row>
    <row r="701" spans="1:21" x14ac:dyDescent="0.25">
      <c r="A701" s="60">
        <f t="shared" si="62"/>
        <v>673</v>
      </c>
      <c r="B701" s="61">
        <f t="shared" si="63"/>
        <v>215</v>
      </c>
      <c r="C701" s="62" t="s">
        <v>56</v>
      </c>
      <c r="D701" s="62" t="s">
        <v>221</v>
      </c>
      <c r="E701" s="63">
        <f>SUBTOTAL(9,F701:T701)</f>
        <v>1422083.61</v>
      </c>
      <c r="F701" s="64"/>
      <c r="G701" s="64"/>
      <c r="H701" s="64">
        <v>758098.38</v>
      </c>
      <c r="I701" s="64">
        <v>627792.72</v>
      </c>
      <c r="J701" s="64">
        <v>0</v>
      </c>
      <c r="K701" s="64"/>
      <c r="L701" s="64"/>
      <c r="M701" s="64">
        <v>0</v>
      </c>
      <c r="N701" s="64"/>
      <c r="O701" s="64">
        <v>0</v>
      </c>
      <c r="P701" s="64">
        <v>0</v>
      </c>
      <c r="Q701" s="64">
        <v>0</v>
      </c>
      <c r="R701" s="71"/>
      <c r="S701" s="71"/>
      <c r="T701" s="66">
        <v>36192.51</v>
      </c>
      <c r="U701" s="67"/>
    </row>
    <row r="702" spans="1:21" x14ac:dyDescent="0.25">
      <c r="A702" s="60">
        <f t="shared" si="62"/>
        <v>674</v>
      </c>
      <c r="B702" s="61">
        <f t="shared" si="63"/>
        <v>216</v>
      </c>
      <c r="C702" s="62" t="s">
        <v>45</v>
      </c>
      <c r="D702" s="62" t="s">
        <v>819</v>
      </c>
      <c r="E702" s="88">
        <f t="shared" si="64"/>
        <v>1760606.3303999999</v>
      </c>
      <c r="F702" s="64"/>
      <c r="G702" s="64"/>
      <c r="H702" s="64">
        <v>1722929.35492944</v>
      </c>
      <c r="I702" s="64">
        <v>0</v>
      </c>
      <c r="J702" s="64">
        <v>0</v>
      </c>
      <c r="K702" s="64"/>
      <c r="L702" s="64"/>
      <c r="M702" s="64">
        <v>0</v>
      </c>
      <c r="N702" s="64">
        <v>0</v>
      </c>
      <c r="O702" s="64">
        <v>0</v>
      </c>
      <c r="P702" s="64">
        <v>0</v>
      </c>
      <c r="Q702" s="64">
        <v>0</v>
      </c>
      <c r="R702" s="64"/>
      <c r="S702" s="65"/>
      <c r="T702" s="66">
        <v>37676.975470559999</v>
      </c>
      <c r="U702" s="67"/>
    </row>
    <row r="703" spans="1:21" x14ac:dyDescent="0.25">
      <c r="A703" s="60">
        <f t="shared" si="62"/>
        <v>675</v>
      </c>
      <c r="B703" s="61">
        <f t="shared" si="63"/>
        <v>217</v>
      </c>
      <c r="C703" s="62" t="s">
        <v>45</v>
      </c>
      <c r="D703" s="62" t="s">
        <v>820</v>
      </c>
      <c r="E703" s="88">
        <f t="shared" si="64"/>
        <v>2419751.5570574589</v>
      </c>
      <c r="F703" s="64">
        <v>0</v>
      </c>
      <c r="G703" s="64">
        <v>0</v>
      </c>
      <c r="H703" s="64">
        <v>1257942.74</v>
      </c>
      <c r="I703" s="64">
        <v>0</v>
      </c>
      <c r="J703" s="64">
        <v>0</v>
      </c>
      <c r="K703" s="64"/>
      <c r="L703" s="64"/>
      <c r="M703" s="64">
        <v>0</v>
      </c>
      <c r="N703" s="64">
        <v>0</v>
      </c>
      <c r="O703" s="64">
        <v>1041448.4583627094</v>
      </c>
      <c r="P703" s="64">
        <v>0</v>
      </c>
      <c r="Q703" s="64"/>
      <c r="R703" s="64"/>
      <c r="S703" s="65"/>
      <c r="T703" s="66">
        <v>120360.35869474964</v>
      </c>
      <c r="U703" s="67"/>
    </row>
    <row r="704" spans="1:21" x14ac:dyDescent="0.25">
      <c r="A704" s="60">
        <f t="shared" si="62"/>
        <v>676</v>
      </c>
      <c r="B704" s="61">
        <f t="shared" si="63"/>
        <v>218</v>
      </c>
      <c r="C704" s="62" t="s">
        <v>45</v>
      </c>
      <c r="D704" s="62" t="s">
        <v>821</v>
      </c>
      <c r="E704" s="88">
        <f t="shared" si="64"/>
        <v>6239399.4557414409</v>
      </c>
      <c r="F704" s="64">
        <v>0</v>
      </c>
      <c r="G704" s="64">
        <v>0</v>
      </c>
      <c r="H704" s="64">
        <v>1348975.3697015401</v>
      </c>
      <c r="I704" s="64">
        <v>0</v>
      </c>
      <c r="J704" s="64">
        <v>0</v>
      </c>
      <c r="K704" s="64"/>
      <c r="L704" s="64"/>
      <c r="M704" s="64">
        <v>0</v>
      </c>
      <c r="N704" s="64">
        <v>0</v>
      </c>
      <c r="O704" s="64">
        <v>1047206.5277316548</v>
      </c>
      <c r="P704" s="64">
        <v>0</v>
      </c>
      <c r="Q704" s="64">
        <v>3709694.4099553796</v>
      </c>
      <c r="R704" s="64"/>
      <c r="S704" s="65"/>
      <c r="T704" s="66">
        <v>133523.14835286685</v>
      </c>
      <c r="U704" s="67"/>
    </row>
    <row r="705" spans="1:26" x14ac:dyDescent="0.25">
      <c r="A705" s="60">
        <f t="shared" si="62"/>
        <v>677</v>
      </c>
      <c r="B705" s="61">
        <f t="shared" si="63"/>
        <v>219</v>
      </c>
      <c r="C705" s="62" t="s">
        <v>45</v>
      </c>
      <c r="D705" s="62" t="s">
        <v>822</v>
      </c>
      <c r="E705" s="88">
        <f t="shared" si="64"/>
        <v>1422052.0302640332</v>
      </c>
      <c r="F705" s="64"/>
      <c r="G705" s="64"/>
      <c r="H705" s="64"/>
      <c r="I705" s="64"/>
      <c r="J705" s="64">
        <v>0</v>
      </c>
      <c r="K705" s="64"/>
      <c r="L705" s="64"/>
      <c r="M705" s="64"/>
      <c r="N705" s="64"/>
      <c r="O705" s="64">
        <v>1055928.3092757934</v>
      </c>
      <c r="P705" s="64">
        <v>0</v>
      </c>
      <c r="Q705" s="64"/>
      <c r="R705" s="64"/>
      <c r="S705" s="65"/>
      <c r="T705" s="66">
        <v>366123.72098823986</v>
      </c>
      <c r="U705" s="67"/>
    </row>
    <row r="706" spans="1:26" x14ac:dyDescent="0.25">
      <c r="A706" s="60">
        <f t="shared" si="62"/>
        <v>678</v>
      </c>
      <c r="B706" s="61">
        <f t="shared" si="63"/>
        <v>220</v>
      </c>
      <c r="C706" s="62" t="s">
        <v>45</v>
      </c>
      <c r="D706" s="62" t="s">
        <v>823</v>
      </c>
      <c r="E706" s="88">
        <f t="shared" si="64"/>
        <v>8162291.2404705631</v>
      </c>
      <c r="F706" s="64"/>
      <c r="G706" s="64"/>
      <c r="H706" s="64">
        <v>1168117.9829516402</v>
      </c>
      <c r="I706" s="64"/>
      <c r="J706" s="64"/>
      <c r="K706" s="64"/>
      <c r="L706" s="64"/>
      <c r="M706" s="64">
        <v>0</v>
      </c>
      <c r="N706" s="64">
        <v>6819500.2249728525</v>
      </c>
      <c r="O706" s="64">
        <v>0</v>
      </c>
      <c r="P706" s="64"/>
      <c r="Q706" s="64"/>
      <c r="R706" s="64"/>
      <c r="S706" s="65"/>
      <c r="T706" s="66">
        <v>174673.03254607006</v>
      </c>
      <c r="U706" s="67"/>
    </row>
    <row r="707" spans="1:26" x14ac:dyDescent="0.25">
      <c r="A707" s="60">
        <f t="shared" si="62"/>
        <v>679</v>
      </c>
      <c r="B707" s="61">
        <f t="shared" si="63"/>
        <v>221</v>
      </c>
      <c r="C707" s="62" t="s">
        <v>45</v>
      </c>
      <c r="D707" s="62" t="s">
        <v>824</v>
      </c>
      <c r="E707" s="88">
        <f t="shared" si="64"/>
        <v>6552225.7929076385</v>
      </c>
      <c r="F707" s="94">
        <v>5046463.3</v>
      </c>
      <c r="G707" s="64"/>
      <c r="H707" s="64">
        <v>1158436.1099060399</v>
      </c>
      <c r="I707" s="64"/>
      <c r="J707" s="64">
        <v>0</v>
      </c>
      <c r="K707" s="64"/>
      <c r="L707" s="64">
        <v>110892.17747327998</v>
      </c>
      <c r="M707" s="64">
        <v>0</v>
      </c>
      <c r="N707" s="64"/>
      <c r="O707" s="64">
        <v>0</v>
      </c>
      <c r="P707" s="64"/>
      <c r="Q707" s="64"/>
      <c r="R707" s="64"/>
      <c r="S707" s="65"/>
      <c r="T707" s="66">
        <v>236434.2055283185</v>
      </c>
      <c r="U707" s="67"/>
    </row>
    <row r="708" spans="1:26" x14ac:dyDescent="0.25">
      <c r="A708" s="60">
        <f t="shared" si="62"/>
        <v>680</v>
      </c>
      <c r="B708" s="61">
        <f t="shared" si="63"/>
        <v>222</v>
      </c>
      <c r="C708" s="62" t="s">
        <v>45</v>
      </c>
      <c r="D708" s="62" t="s">
        <v>825</v>
      </c>
      <c r="E708" s="88">
        <f t="shared" si="64"/>
        <v>8834990.3952760007</v>
      </c>
      <c r="F708" s="64">
        <v>3583619.264736</v>
      </c>
      <c r="G708" s="64">
        <v>2218742.4464100003</v>
      </c>
      <c r="H708" s="64">
        <v>1040167.9144080001</v>
      </c>
      <c r="I708" s="64">
        <v>906414.55938600004</v>
      </c>
      <c r="J708" s="64">
        <v>0</v>
      </c>
      <c r="K708" s="64"/>
      <c r="L708" s="64">
        <v>312478.89445500006</v>
      </c>
      <c r="M708" s="64">
        <v>0</v>
      </c>
      <c r="N708" s="64"/>
      <c r="O708" s="64">
        <v>0</v>
      </c>
      <c r="P708" s="64"/>
      <c r="Q708" s="64"/>
      <c r="R708" s="64"/>
      <c r="S708" s="65"/>
      <c r="T708" s="66">
        <v>773567.3158809999</v>
      </c>
      <c r="U708" s="67"/>
    </row>
    <row r="709" spans="1:26" x14ac:dyDescent="0.25">
      <c r="A709" s="60">
        <f t="shared" si="62"/>
        <v>681</v>
      </c>
      <c r="B709" s="61">
        <f t="shared" si="63"/>
        <v>223</v>
      </c>
      <c r="C709" s="62" t="s">
        <v>45</v>
      </c>
      <c r="D709" s="62" t="s">
        <v>826</v>
      </c>
      <c r="E709" s="88">
        <f t="shared" si="64"/>
        <v>8909854.1813420001</v>
      </c>
      <c r="F709" s="64">
        <v>3617984.0269859997</v>
      </c>
      <c r="G709" s="64">
        <v>2231790.3844320001</v>
      </c>
      <c r="H709" s="64">
        <v>1050168.4431</v>
      </c>
      <c r="I709" s="64">
        <v>912769.65628799994</v>
      </c>
      <c r="J709" s="64">
        <v>0</v>
      </c>
      <c r="K709" s="64"/>
      <c r="L709" s="64">
        <v>315453.97193603998</v>
      </c>
      <c r="M709" s="64">
        <v>0</v>
      </c>
      <c r="N709" s="64"/>
      <c r="O709" s="64">
        <v>0</v>
      </c>
      <c r="P709" s="64"/>
      <c r="Q709" s="64"/>
      <c r="R709" s="64"/>
      <c r="S709" s="65"/>
      <c r="T709" s="66">
        <v>781687.69859996007</v>
      </c>
      <c r="U709" s="67"/>
    </row>
    <row r="710" spans="1:26" x14ac:dyDescent="0.25">
      <c r="A710" s="60">
        <f t="shared" si="62"/>
        <v>682</v>
      </c>
      <c r="B710" s="61">
        <f t="shared" si="63"/>
        <v>224</v>
      </c>
      <c r="C710" s="62" t="s">
        <v>45</v>
      </c>
      <c r="D710" s="62" t="s">
        <v>816</v>
      </c>
      <c r="E710" s="63">
        <f t="shared" si="64"/>
        <v>1251405.6599713201</v>
      </c>
      <c r="F710" s="64"/>
      <c r="G710" s="64"/>
      <c r="H710" s="64">
        <v>970374.21133800002</v>
      </c>
      <c r="I710" s="64"/>
      <c r="J710" s="64">
        <v>0</v>
      </c>
      <c r="K710" s="64"/>
      <c r="L710" s="64"/>
      <c r="M710" s="64">
        <v>0</v>
      </c>
      <c r="N710" s="64"/>
      <c r="O710" s="64">
        <v>0</v>
      </c>
      <c r="P710" s="64"/>
      <c r="Q710" s="64"/>
      <c r="R710" s="64"/>
      <c r="S710" s="65"/>
      <c r="T710" s="66">
        <v>281031.44863332005</v>
      </c>
      <c r="U710" s="67"/>
      <c r="Z710" s="75" t="s">
        <v>589</v>
      </c>
    </row>
    <row r="711" spans="1:26" x14ac:dyDescent="0.25">
      <c r="A711" s="60">
        <f t="shared" si="62"/>
        <v>683</v>
      </c>
      <c r="B711" s="61">
        <f t="shared" si="63"/>
        <v>225</v>
      </c>
      <c r="C711" s="62" t="s">
        <v>45</v>
      </c>
      <c r="D711" s="62" t="s">
        <v>827</v>
      </c>
      <c r="E711" s="88">
        <f t="shared" si="64"/>
        <v>8209051.5736664003</v>
      </c>
      <c r="F711" s="64">
        <v>3347005.1922762003</v>
      </c>
      <c r="G711" s="64">
        <v>2036602.79352348</v>
      </c>
      <c r="H711" s="64">
        <v>959676.47271510004</v>
      </c>
      <c r="I711" s="64">
        <v>837192.48</v>
      </c>
      <c r="J711" s="64">
        <v>0</v>
      </c>
      <c r="K711" s="64"/>
      <c r="L711" s="64">
        <v>317258.01868739998</v>
      </c>
      <c r="M711" s="64">
        <v>0</v>
      </c>
      <c r="N711" s="64"/>
      <c r="O711" s="64">
        <v>0</v>
      </c>
      <c r="P711" s="64"/>
      <c r="Q711" s="64"/>
      <c r="R711" s="64"/>
      <c r="S711" s="65"/>
      <c r="T711" s="66">
        <v>711316.6164642201</v>
      </c>
      <c r="U711" s="67"/>
    </row>
    <row r="712" spans="1:26" x14ac:dyDescent="0.25">
      <c r="A712" s="60">
        <f t="shared" si="62"/>
        <v>684</v>
      </c>
      <c r="B712" s="61">
        <f t="shared" si="63"/>
        <v>226</v>
      </c>
      <c r="C712" s="62" t="s">
        <v>45</v>
      </c>
      <c r="D712" s="62" t="s">
        <v>971</v>
      </c>
      <c r="E712" s="88">
        <f t="shared" si="64"/>
        <v>8542100</v>
      </c>
      <c r="F712" s="64"/>
      <c r="G712" s="64"/>
      <c r="H712" s="64"/>
      <c r="I712" s="64"/>
      <c r="J712" s="64"/>
      <c r="K712" s="64"/>
      <c r="L712" s="64"/>
      <c r="M712" s="64">
        <v>8024927.0976</v>
      </c>
      <c r="N712" s="64"/>
      <c r="O712" s="64"/>
      <c r="P712" s="64"/>
      <c r="Q712" s="64"/>
      <c r="R712" s="64">
        <v>256263</v>
      </c>
      <c r="S712" s="65">
        <v>85421</v>
      </c>
      <c r="T712" s="66">
        <v>175488.90240000002</v>
      </c>
      <c r="U712" s="67"/>
    </row>
    <row r="713" spans="1:26" x14ac:dyDescent="0.25">
      <c r="A713" s="60">
        <f t="shared" si="62"/>
        <v>685</v>
      </c>
      <c r="B713" s="61">
        <f t="shared" si="63"/>
        <v>227</v>
      </c>
      <c r="C713" s="62" t="s">
        <v>45</v>
      </c>
      <c r="D713" s="62" t="s">
        <v>817</v>
      </c>
      <c r="E713" s="88">
        <f t="shared" si="64"/>
        <v>5530494.6388669563</v>
      </c>
      <c r="F713" s="64">
        <v>3852549.3967092787</v>
      </c>
      <c r="G713" s="64"/>
      <c r="H713" s="64">
        <v>1437441.799164</v>
      </c>
      <c r="I713" s="64"/>
      <c r="J713" s="64">
        <v>0</v>
      </c>
      <c r="K713" s="64"/>
      <c r="L713" s="64">
        <v>124822.049583</v>
      </c>
      <c r="M713" s="64">
        <v>0</v>
      </c>
      <c r="N713" s="64"/>
      <c r="O713" s="64"/>
      <c r="P713" s="64"/>
      <c r="Q713" s="64"/>
      <c r="R713" s="64"/>
      <c r="S713" s="65"/>
      <c r="T713" s="66">
        <v>115681.39341067667</v>
      </c>
      <c r="U713" s="67"/>
    </row>
    <row r="714" spans="1:26" x14ac:dyDescent="0.25">
      <c r="A714" s="60">
        <f t="shared" si="62"/>
        <v>686</v>
      </c>
      <c r="B714" s="61">
        <f t="shared" si="63"/>
        <v>228</v>
      </c>
      <c r="C714" s="62" t="s">
        <v>45</v>
      </c>
      <c r="D714" s="62" t="s">
        <v>818</v>
      </c>
      <c r="E714" s="88">
        <f t="shared" si="64"/>
        <v>4580069.0167048005</v>
      </c>
      <c r="F714" s="64">
        <v>2968725.2</v>
      </c>
      <c r="G714" s="64">
        <v>0</v>
      </c>
      <c r="H714" s="64">
        <v>953705.41</v>
      </c>
      <c r="I714" s="64"/>
      <c r="J714" s="64">
        <v>0</v>
      </c>
      <c r="K714" s="64"/>
      <c r="L714" s="64">
        <v>227878.8628032</v>
      </c>
      <c r="M714" s="64">
        <v>0</v>
      </c>
      <c r="N714" s="64">
        <v>227029.93</v>
      </c>
      <c r="O714" s="64">
        <v>0</v>
      </c>
      <c r="P714" s="64"/>
      <c r="Q714" s="64"/>
      <c r="R714" s="64"/>
      <c r="S714" s="65"/>
      <c r="T714" s="66">
        <v>202729.61390160001</v>
      </c>
      <c r="U714" s="67"/>
    </row>
    <row r="715" spans="1:26" x14ac:dyDescent="0.25">
      <c r="A715" s="60">
        <f t="shared" si="62"/>
        <v>687</v>
      </c>
      <c r="B715" s="61">
        <f t="shared" si="63"/>
        <v>229</v>
      </c>
      <c r="C715" s="62" t="s">
        <v>45</v>
      </c>
      <c r="D715" s="62" t="s">
        <v>828</v>
      </c>
      <c r="E715" s="88">
        <f t="shared" si="64"/>
        <v>6383249.3920844607</v>
      </c>
      <c r="F715" s="64">
        <v>3621078.2721119998</v>
      </c>
      <c r="G715" s="64">
        <v>1375290.94</v>
      </c>
      <c r="H715" s="64"/>
      <c r="I715" s="64">
        <v>876899.75830800005</v>
      </c>
      <c r="J715" s="64">
        <v>0</v>
      </c>
      <c r="K715" s="64"/>
      <c r="L715" s="64">
        <v>120530.94592896002</v>
      </c>
      <c r="M715" s="64">
        <v>0</v>
      </c>
      <c r="N715" s="64"/>
      <c r="O715" s="64">
        <v>0</v>
      </c>
      <c r="P715" s="64">
        <v>0</v>
      </c>
      <c r="Q715" s="64"/>
      <c r="R715" s="64"/>
      <c r="S715" s="65"/>
      <c r="T715" s="66">
        <v>389449.47573549999</v>
      </c>
      <c r="U715" s="67"/>
    </row>
    <row r="716" spans="1:26" x14ac:dyDescent="0.25">
      <c r="A716" s="60">
        <f t="shared" si="62"/>
        <v>688</v>
      </c>
      <c r="B716" s="61">
        <f t="shared" si="63"/>
        <v>230</v>
      </c>
      <c r="C716" s="62" t="s">
        <v>45</v>
      </c>
      <c r="D716" s="62" t="s">
        <v>973</v>
      </c>
      <c r="E716" s="88">
        <f t="shared" si="64"/>
        <v>21943518.950173188</v>
      </c>
      <c r="F716" s="64"/>
      <c r="G716" s="64"/>
      <c r="H716" s="64"/>
      <c r="I716" s="64"/>
      <c r="J716" s="64"/>
      <c r="K716" s="64"/>
      <c r="L716" s="64"/>
      <c r="M716" s="64"/>
      <c r="N716" s="64">
        <v>19326534.880175535</v>
      </c>
      <c r="O716" s="64">
        <v>0</v>
      </c>
      <c r="P716" s="64">
        <v>0</v>
      </c>
      <c r="Q716" s="64">
        <v>0</v>
      </c>
      <c r="R716" s="64">
        <v>1974916.7055155868</v>
      </c>
      <c r="S716" s="65">
        <v>219435.18950173189</v>
      </c>
      <c r="T716" s="66">
        <v>422632.17498033564</v>
      </c>
      <c r="U716" s="67"/>
    </row>
    <row r="717" spans="1:26" x14ac:dyDescent="0.25">
      <c r="A717" s="60">
        <f t="shared" si="62"/>
        <v>689</v>
      </c>
      <c r="B717" s="61">
        <f t="shared" si="63"/>
        <v>231</v>
      </c>
      <c r="C717" s="62" t="s">
        <v>45</v>
      </c>
      <c r="D717" s="62" t="s">
        <v>831</v>
      </c>
      <c r="E717" s="88">
        <f t="shared" si="64"/>
        <v>18454975.689012323</v>
      </c>
      <c r="F717" s="64">
        <v>10537075.366258001</v>
      </c>
      <c r="G717" s="64">
        <v>3835013.4758320004</v>
      </c>
      <c r="H717" s="64"/>
      <c r="I717" s="64">
        <v>2587058.6111860005</v>
      </c>
      <c r="J717" s="64">
        <v>0</v>
      </c>
      <c r="K717" s="64"/>
      <c r="L717" s="64">
        <v>355628.19171599997</v>
      </c>
      <c r="M717" s="64">
        <v>0</v>
      </c>
      <c r="N717" s="64"/>
      <c r="O717" s="64"/>
      <c r="P717" s="64"/>
      <c r="Q717" s="64"/>
      <c r="R717" s="64"/>
      <c r="S717" s="64"/>
      <c r="T717" s="66">
        <v>1140200.0440203198</v>
      </c>
      <c r="U717" s="67"/>
    </row>
    <row r="718" spans="1:26" x14ac:dyDescent="0.25">
      <c r="A718" s="60">
        <f t="shared" si="62"/>
        <v>690</v>
      </c>
      <c r="B718" s="61">
        <f t="shared" si="63"/>
        <v>232</v>
      </c>
      <c r="C718" s="62" t="s">
        <v>45</v>
      </c>
      <c r="D718" s="62" t="s">
        <v>832</v>
      </c>
      <c r="E718" s="88">
        <f t="shared" si="64"/>
        <v>19313313.5727886</v>
      </c>
      <c r="F718" s="64">
        <v>3823646.7931139995</v>
      </c>
      <c r="G718" s="64">
        <v>1377432.691104</v>
      </c>
      <c r="H718" s="64">
        <v>1464223.795434</v>
      </c>
      <c r="I718" s="64">
        <v>926339.45652600005</v>
      </c>
      <c r="J718" s="64">
        <v>0</v>
      </c>
      <c r="K718" s="64"/>
      <c r="L718" s="64">
        <v>129828.30785400001</v>
      </c>
      <c r="M718" s="64">
        <v>0</v>
      </c>
      <c r="N718" s="64">
        <v>7205871.6359640006</v>
      </c>
      <c r="O718" s="64"/>
      <c r="P718" s="64"/>
      <c r="Q718" s="64">
        <v>4008332.672693999</v>
      </c>
      <c r="R718" s="64"/>
      <c r="S718" s="64"/>
      <c r="T718" s="66">
        <v>377638.22009860002</v>
      </c>
      <c r="U718" s="67"/>
    </row>
    <row r="719" spans="1:26" x14ac:dyDescent="0.25">
      <c r="A719" s="60">
        <f t="shared" si="62"/>
        <v>691</v>
      </c>
      <c r="B719" s="61">
        <f t="shared" si="63"/>
        <v>233</v>
      </c>
      <c r="C719" s="62" t="s">
        <v>45</v>
      </c>
      <c r="D719" s="62" t="s">
        <v>833</v>
      </c>
      <c r="E719" s="88">
        <f t="shared" si="64"/>
        <v>46230178.072141834</v>
      </c>
      <c r="F719" s="64">
        <v>9150018.9223740008</v>
      </c>
      <c r="G719" s="64">
        <v>3322771.2370799994</v>
      </c>
      <c r="H719" s="64">
        <v>3507760.1149860001</v>
      </c>
      <c r="I719" s="64">
        <v>2240831.5174499997</v>
      </c>
      <c r="J719" s="64">
        <v>0</v>
      </c>
      <c r="K719" s="64"/>
      <c r="L719" s="64">
        <v>308956.957092</v>
      </c>
      <c r="M719" s="64">
        <v>0</v>
      </c>
      <c r="N719" s="64">
        <v>17090431.012025997</v>
      </c>
      <c r="O719" s="64"/>
      <c r="P719" s="64"/>
      <c r="Q719" s="64">
        <v>9620247.9809520002</v>
      </c>
      <c r="R719" s="64"/>
      <c r="S719" s="64"/>
      <c r="T719" s="66">
        <v>989160.33018183988</v>
      </c>
      <c r="U719" s="67"/>
    </row>
    <row r="720" spans="1:26" x14ac:dyDescent="0.25">
      <c r="A720" s="60">
        <f t="shared" si="62"/>
        <v>692</v>
      </c>
      <c r="B720" s="61">
        <f t="shared" si="63"/>
        <v>234</v>
      </c>
      <c r="C720" s="62" t="s">
        <v>45</v>
      </c>
      <c r="D720" s="62" t="s">
        <v>834</v>
      </c>
      <c r="E720" s="88">
        <f t="shared" si="64"/>
        <v>4154315.5242829402</v>
      </c>
      <c r="F720" s="64">
        <v>3639720.4511280004</v>
      </c>
      <c r="G720" s="64"/>
      <c r="H720" s="64"/>
      <c r="I720" s="64"/>
      <c r="J720" s="64">
        <v>0</v>
      </c>
      <c r="K720" s="64"/>
      <c r="L720" s="64">
        <v>123633.848142</v>
      </c>
      <c r="M720" s="64">
        <v>0</v>
      </c>
      <c r="N720" s="64"/>
      <c r="O720" s="64"/>
      <c r="P720" s="64"/>
      <c r="Q720" s="64"/>
      <c r="R720" s="64"/>
      <c r="S720" s="64"/>
      <c r="T720" s="66">
        <v>390961.22501294001</v>
      </c>
      <c r="U720" s="67"/>
    </row>
    <row r="721" spans="1:22" x14ac:dyDescent="0.25">
      <c r="A721" s="60">
        <f t="shared" si="62"/>
        <v>693</v>
      </c>
      <c r="B721" s="61">
        <f t="shared" si="63"/>
        <v>235</v>
      </c>
      <c r="C721" s="62" t="s">
        <v>46</v>
      </c>
      <c r="D721" s="62" t="s">
        <v>852</v>
      </c>
      <c r="E721" s="88">
        <f t="shared" si="64"/>
        <v>24641314.833105583</v>
      </c>
      <c r="F721" s="64">
        <v>11569017.916302199</v>
      </c>
      <c r="G721" s="64">
        <v>0</v>
      </c>
      <c r="H721" s="64">
        <v>0</v>
      </c>
      <c r="I721" s="64">
        <v>0</v>
      </c>
      <c r="J721" s="64">
        <v>0</v>
      </c>
      <c r="K721" s="64"/>
      <c r="L721" s="64">
        <v>381912.63386907097</v>
      </c>
      <c r="M721" s="64">
        <v>0</v>
      </c>
      <c r="N721" s="64">
        <v>0</v>
      </c>
      <c r="O721" s="64">
        <v>0</v>
      </c>
      <c r="P721" s="64">
        <v>0</v>
      </c>
      <c r="Q721" s="64">
        <v>12188783.156028476</v>
      </c>
      <c r="R721" s="64"/>
      <c r="S721" s="65"/>
      <c r="T721" s="66">
        <v>501601.12690584006</v>
      </c>
      <c r="U721" s="67"/>
    </row>
    <row r="722" spans="1:22" x14ac:dyDescent="0.25">
      <c r="A722" s="60">
        <f t="shared" si="62"/>
        <v>694</v>
      </c>
      <c r="B722" s="61">
        <f t="shared" si="63"/>
        <v>236</v>
      </c>
      <c r="C722" s="62" t="s">
        <v>46</v>
      </c>
      <c r="D722" s="62" t="s">
        <v>1148</v>
      </c>
      <c r="E722" s="88">
        <f t="shared" si="64"/>
        <v>7582731.1905000005</v>
      </c>
      <c r="F722" s="64"/>
      <c r="G722" s="64"/>
      <c r="H722" s="64">
        <v>436138.45</v>
      </c>
      <c r="I722" s="64">
        <v>1875411.59</v>
      </c>
      <c r="J722" s="64">
        <v>0</v>
      </c>
      <c r="K722" s="64"/>
      <c r="L722" s="64"/>
      <c r="M722" s="64">
        <v>0</v>
      </c>
      <c r="N722" s="64"/>
      <c r="O722" s="64">
        <v>0</v>
      </c>
      <c r="P722" s="64"/>
      <c r="Q722" s="64">
        <v>5158377.8738793004</v>
      </c>
      <c r="R722" s="64"/>
      <c r="S722" s="65"/>
      <c r="T722" s="66">
        <v>112803.27662070002</v>
      </c>
      <c r="U722" s="67"/>
    </row>
    <row r="723" spans="1:22" x14ac:dyDescent="0.25">
      <c r="A723" s="60">
        <f t="shared" si="62"/>
        <v>695</v>
      </c>
      <c r="B723" s="61">
        <f t="shared" si="63"/>
        <v>237</v>
      </c>
      <c r="C723" s="62" t="s">
        <v>46</v>
      </c>
      <c r="D723" s="62" t="s">
        <v>1149</v>
      </c>
      <c r="E723" s="88">
        <f t="shared" si="64"/>
        <v>8542100</v>
      </c>
      <c r="F723" s="64"/>
      <c r="G723" s="64"/>
      <c r="H723" s="64"/>
      <c r="I723" s="64"/>
      <c r="J723" s="64"/>
      <c r="K723" s="64"/>
      <c r="L723" s="64"/>
      <c r="M723" s="64">
        <v>8024927.0976</v>
      </c>
      <c r="N723" s="64"/>
      <c r="O723" s="64"/>
      <c r="P723" s="64"/>
      <c r="Q723" s="64"/>
      <c r="R723" s="64">
        <v>256263</v>
      </c>
      <c r="S723" s="65">
        <v>85421</v>
      </c>
      <c r="T723" s="66">
        <v>175488.90240000002</v>
      </c>
      <c r="U723" s="67"/>
    </row>
    <row r="724" spans="1:22" x14ac:dyDescent="0.25">
      <c r="A724" s="60">
        <f t="shared" si="62"/>
        <v>696</v>
      </c>
      <c r="B724" s="61">
        <f t="shared" si="63"/>
        <v>238</v>
      </c>
      <c r="C724" s="62" t="s">
        <v>46</v>
      </c>
      <c r="D724" s="62" t="s">
        <v>1150</v>
      </c>
      <c r="E724" s="88">
        <f t="shared" si="64"/>
        <v>13997623.099123999</v>
      </c>
      <c r="F724" s="64"/>
      <c r="G724" s="64"/>
      <c r="H724" s="64">
        <v>5455523.0991239995</v>
      </c>
      <c r="I724" s="64"/>
      <c r="J724" s="64"/>
      <c r="K724" s="64"/>
      <c r="L724" s="64"/>
      <c r="M724" s="64">
        <v>8024927.0976</v>
      </c>
      <c r="N724" s="64"/>
      <c r="O724" s="64"/>
      <c r="P724" s="64"/>
      <c r="Q724" s="64"/>
      <c r="R724" s="64">
        <v>256263</v>
      </c>
      <c r="S724" s="65">
        <v>85421</v>
      </c>
      <c r="T724" s="66">
        <v>175488.90240000002</v>
      </c>
      <c r="U724" s="67"/>
    </row>
    <row r="725" spans="1:22" x14ac:dyDescent="0.25">
      <c r="A725" s="60">
        <f t="shared" si="62"/>
        <v>697</v>
      </c>
      <c r="B725" s="61">
        <f t="shared" si="63"/>
        <v>239</v>
      </c>
      <c r="C725" s="62" t="s">
        <v>46</v>
      </c>
      <c r="D725" s="62" t="s">
        <v>853</v>
      </c>
      <c r="E725" s="88">
        <f t="shared" si="64"/>
        <v>50908301.768257402</v>
      </c>
      <c r="F725" s="64">
        <v>18516250.189579763</v>
      </c>
      <c r="G725" s="64">
        <v>12707765.989702664</v>
      </c>
      <c r="H725" s="64"/>
      <c r="I725" s="64">
        <v>7854168.2699999996</v>
      </c>
      <c r="J725" s="64">
        <v>0</v>
      </c>
      <c r="K725" s="64"/>
      <c r="L725" s="64">
        <v>890798.91763439786</v>
      </c>
      <c r="M725" s="64">
        <v>8024927.0976</v>
      </c>
      <c r="N725" s="64">
        <v>0</v>
      </c>
      <c r="O725" s="64">
        <v>0</v>
      </c>
      <c r="P725" s="64"/>
      <c r="Q725" s="64">
        <v>0</v>
      </c>
      <c r="R725" s="64"/>
      <c r="S725" s="65"/>
      <c r="T725" s="66">
        <v>2914391.3037405843</v>
      </c>
      <c r="U725" s="67"/>
      <c r="V725" s="75"/>
    </row>
    <row r="726" spans="1:22" x14ac:dyDescent="0.25">
      <c r="A726" s="60">
        <f t="shared" si="62"/>
        <v>698</v>
      </c>
      <c r="B726" s="61">
        <f t="shared" si="63"/>
        <v>240</v>
      </c>
      <c r="C726" s="62" t="s">
        <v>46</v>
      </c>
      <c r="D726" s="62" t="s">
        <v>261</v>
      </c>
      <c r="E726" s="63">
        <f>SUBTOTAL(9,F726:T726)</f>
        <v>14592894.3048</v>
      </c>
      <c r="F726" s="64">
        <v>4695224.6562059997</v>
      </c>
      <c r="G726" s="64">
        <v>3264310.7159879999</v>
      </c>
      <c r="H726" s="64">
        <v>1988887.4398679999</v>
      </c>
      <c r="I726" s="64">
        <v>1830087.6300839998</v>
      </c>
      <c r="J726" s="64">
        <v>0</v>
      </c>
      <c r="K726" s="64"/>
      <c r="L726" s="64">
        <v>209268.31068528001</v>
      </c>
      <c r="M726" s="64">
        <v>0</v>
      </c>
      <c r="N726" s="64">
        <v>2292827.6138460003</v>
      </c>
      <c r="O726" s="64">
        <v>0</v>
      </c>
      <c r="P726" s="64">
        <v>0</v>
      </c>
      <c r="Q726" s="64">
        <v>0</v>
      </c>
      <c r="R726" s="64"/>
      <c r="S726" s="65"/>
      <c r="T726" s="66">
        <v>312287.93812271999</v>
      </c>
      <c r="U726" s="67"/>
    </row>
    <row r="727" spans="1:22" x14ac:dyDescent="0.25">
      <c r="A727" s="60">
        <f t="shared" si="62"/>
        <v>699</v>
      </c>
      <c r="B727" s="61">
        <f t="shared" si="63"/>
        <v>241</v>
      </c>
      <c r="C727" s="62" t="s">
        <v>46</v>
      </c>
      <c r="D727" s="62" t="s">
        <v>1151</v>
      </c>
      <c r="E727" s="88">
        <f t="shared" si="64"/>
        <v>2305199.3400000003</v>
      </c>
      <c r="F727" s="64">
        <v>0</v>
      </c>
      <c r="G727" s="64">
        <v>0</v>
      </c>
      <c r="H727" s="64">
        <v>0</v>
      </c>
      <c r="I727" s="64">
        <v>0</v>
      </c>
      <c r="J727" s="64">
        <v>0</v>
      </c>
      <c r="K727" s="64"/>
      <c r="L727" s="64"/>
      <c r="M727" s="64">
        <v>0</v>
      </c>
      <c r="N727" s="64">
        <v>2255868.0741240005</v>
      </c>
      <c r="O727" s="64">
        <v>0</v>
      </c>
      <c r="P727" s="64">
        <v>0</v>
      </c>
      <c r="Q727" s="64">
        <v>0</v>
      </c>
      <c r="R727" s="64"/>
      <c r="S727" s="65"/>
      <c r="T727" s="66">
        <v>49331.265876000012</v>
      </c>
      <c r="U727" s="67"/>
    </row>
    <row r="728" spans="1:22" x14ac:dyDescent="0.25">
      <c r="A728" s="60">
        <f t="shared" si="62"/>
        <v>700</v>
      </c>
      <c r="B728" s="61">
        <f t="shared" si="63"/>
        <v>242</v>
      </c>
      <c r="C728" s="62" t="s">
        <v>46</v>
      </c>
      <c r="D728" s="62" t="s">
        <v>263</v>
      </c>
      <c r="E728" s="63">
        <f>SUBTOTAL(9,F728:T728)</f>
        <v>2471396.1</v>
      </c>
      <c r="F728" s="64">
        <v>0</v>
      </c>
      <c r="G728" s="64">
        <v>0</v>
      </c>
      <c r="H728" s="64">
        <v>0</v>
      </c>
      <c r="I728" s="64">
        <v>0</v>
      </c>
      <c r="J728" s="64">
        <v>0</v>
      </c>
      <c r="K728" s="64"/>
      <c r="L728" s="64"/>
      <c r="M728" s="64">
        <v>0</v>
      </c>
      <c r="N728" s="64">
        <v>2418508.22346</v>
      </c>
      <c r="O728" s="64">
        <v>0</v>
      </c>
      <c r="P728" s="64">
        <v>0</v>
      </c>
      <c r="Q728" s="64">
        <v>0</v>
      </c>
      <c r="R728" s="64"/>
      <c r="S728" s="65"/>
      <c r="T728" s="66">
        <v>52887.876539999997</v>
      </c>
      <c r="U728" s="67"/>
    </row>
    <row r="729" spans="1:22" x14ac:dyDescent="0.25">
      <c r="A729" s="60">
        <f t="shared" si="62"/>
        <v>701</v>
      </c>
      <c r="B729" s="61">
        <f t="shared" si="63"/>
        <v>243</v>
      </c>
      <c r="C729" s="62" t="s">
        <v>46</v>
      </c>
      <c r="D729" s="62" t="s">
        <v>264</v>
      </c>
      <c r="E729" s="88">
        <f t="shared" si="64"/>
        <v>24900086.324828003</v>
      </c>
      <c r="F729" s="64">
        <v>7338416.0047800001</v>
      </c>
      <c r="G729" s="64"/>
      <c r="H729" s="64">
        <v>2862800.1293219998</v>
      </c>
      <c r="I729" s="64"/>
      <c r="J729" s="64">
        <v>0</v>
      </c>
      <c r="K729" s="64"/>
      <c r="L729" s="64">
        <v>222240.79473288002</v>
      </c>
      <c r="M729" s="64">
        <v>0</v>
      </c>
      <c r="N729" s="64">
        <v>14005782.708666001</v>
      </c>
      <c r="O729" s="64">
        <v>0</v>
      </c>
      <c r="P729" s="64">
        <v>0</v>
      </c>
      <c r="Q729" s="64">
        <v>0</v>
      </c>
      <c r="R729" s="64"/>
      <c r="S729" s="65"/>
      <c r="T729" s="66">
        <v>470846.6873271201</v>
      </c>
      <c r="U729" s="67"/>
    </row>
    <row r="730" spans="1:22" x14ac:dyDescent="0.25">
      <c r="A730" s="60">
        <f t="shared" si="62"/>
        <v>702</v>
      </c>
      <c r="B730" s="61">
        <f t="shared" si="63"/>
        <v>244</v>
      </c>
      <c r="C730" s="62" t="s">
        <v>46</v>
      </c>
      <c r="D730" s="62" t="s">
        <v>1152</v>
      </c>
      <c r="E730" s="63">
        <f>SUBTOTAL(9,F730:T730)</f>
        <v>2330029.3230000003</v>
      </c>
      <c r="F730" s="64">
        <v>0</v>
      </c>
      <c r="G730" s="64">
        <v>0</v>
      </c>
      <c r="H730" s="64">
        <v>0</v>
      </c>
      <c r="I730" s="64">
        <v>0</v>
      </c>
      <c r="J730" s="64">
        <v>0</v>
      </c>
      <c r="K730" s="64"/>
      <c r="L730" s="64"/>
      <c r="M730" s="64">
        <v>0</v>
      </c>
      <c r="N730" s="64">
        <v>2280166.6954878005</v>
      </c>
      <c r="O730" s="64">
        <v>0</v>
      </c>
      <c r="P730" s="64">
        <v>0</v>
      </c>
      <c r="Q730" s="64">
        <v>0</v>
      </c>
      <c r="R730" s="64"/>
      <c r="S730" s="65"/>
      <c r="T730" s="66">
        <v>49862.627512200008</v>
      </c>
      <c r="U730" s="67"/>
    </row>
    <row r="731" spans="1:22" x14ac:dyDescent="0.25">
      <c r="A731" s="60">
        <f t="shared" si="62"/>
        <v>703</v>
      </c>
      <c r="B731" s="61">
        <f t="shared" si="63"/>
        <v>245</v>
      </c>
      <c r="C731" s="62" t="s">
        <v>46</v>
      </c>
      <c r="D731" s="62" t="s">
        <v>265</v>
      </c>
      <c r="E731" s="88">
        <f t="shared" si="64"/>
        <v>32842824.751731999</v>
      </c>
      <c r="F731" s="64">
        <v>6541685.2820339995</v>
      </c>
      <c r="G731" s="64">
        <v>4051261.6039140001</v>
      </c>
      <c r="H731" s="64">
        <v>1904080.8091200001</v>
      </c>
      <c r="I731" s="64"/>
      <c r="J731" s="64">
        <v>0</v>
      </c>
      <c r="K731" s="64"/>
      <c r="L731" s="64">
        <v>511593.88939176005</v>
      </c>
      <c r="M731" s="64">
        <v>0</v>
      </c>
      <c r="N731" s="64">
        <v>19172709.856734</v>
      </c>
      <c r="O731" s="64">
        <v>0</v>
      </c>
      <c r="P731" s="64">
        <v>0</v>
      </c>
      <c r="Q731" s="64">
        <v>0</v>
      </c>
      <c r="R731" s="64"/>
      <c r="S731" s="65"/>
      <c r="T731" s="66">
        <v>661493.31053824001</v>
      </c>
      <c r="U731" s="67"/>
    </row>
    <row r="732" spans="1:22" x14ac:dyDescent="0.25">
      <c r="A732" s="60">
        <f t="shared" si="62"/>
        <v>704</v>
      </c>
      <c r="B732" s="61">
        <f t="shared" si="63"/>
        <v>246</v>
      </c>
      <c r="C732" s="62" t="s">
        <v>46</v>
      </c>
      <c r="D732" s="62" t="s">
        <v>266</v>
      </c>
      <c r="E732" s="88">
        <f t="shared" si="64"/>
        <v>12599233.890348</v>
      </c>
      <c r="F732" s="64">
        <v>3724324.4375819997</v>
      </c>
      <c r="G732" s="64"/>
      <c r="H732" s="64">
        <v>1448805.3415079999</v>
      </c>
      <c r="I732" s="64"/>
      <c r="J732" s="64">
        <v>0</v>
      </c>
      <c r="K732" s="64"/>
      <c r="L732" s="64">
        <v>113301.62983020001</v>
      </c>
      <c r="M732" s="64">
        <v>0</v>
      </c>
      <c r="N732" s="64">
        <v>7074795.119616</v>
      </c>
      <c r="O732" s="64">
        <v>0</v>
      </c>
      <c r="P732" s="64">
        <v>0</v>
      </c>
      <c r="Q732" s="64">
        <v>0</v>
      </c>
      <c r="R732" s="64"/>
      <c r="S732" s="65"/>
      <c r="T732" s="66">
        <v>238007.36181180002</v>
      </c>
      <c r="U732" s="67"/>
    </row>
    <row r="733" spans="1:22" x14ac:dyDescent="0.25">
      <c r="A733" s="60">
        <f t="shared" si="62"/>
        <v>705</v>
      </c>
      <c r="B733" s="61">
        <f t="shared" si="63"/>
        <v>247</v>
      </c>
      <c r="C733" s="62" t="s">
        <v>46</v>
      </c>
      <c r="D733" s="62" t="s">
        <v>269</v>
      </c>
      <c r="E733" s="63">
        <f>SUBTOTAL(9,F733:T733)</f>
        <v>1344004.72</v>
      </c>
      <c r="F733" s="64"/>
      <c r="G733" s="64"/>
      <c r="H733" s="64">
        <v>1315243.018992</v>
      </c>
      <c r="I733" s="64"/>
      <c r="J733" s="64">
        <v>0</v>
      </c>
      <c r="K733" s="64"/>
      <c r="L733" s="64"/>
      <c r="M733" s="64"/>
      <c r="N733" s="64"/>
      <c r="O733" s="64">
        <v>0</v>
      </c>
      <c r="P733" s="64">
        <v>0</v>
      </c>
      <c r="Q733" s="64">
        <v>0</v>
      </c>
      <c r="R733" s="64"/>
      <c r="S733" s="65"/>
      <c r="T733" s="66">
        <v>28761.701008</v>
      </c>
      <c r="U733" s="67"/>
    </row>
    <row r="734" spans="1:22" x14ac:dyDescent="0.25">
      <c r="A734" s="60">
        <f t="shared" si="62"/>
        <v>706</v>
      </c>
      <c r="B734" s="61">
        <f t="shared" si="63"/>
        <v>248</v>
      </c>
      <c r="C734" s="62" t="s">
        <v>46</v>
      </c>
      <c r="D734" s="62" t="s">
        <v>268</v>
      </c>
      <c r="E734" s="88">
        <f t="shared" si="64"/>
        <v>12877508.090127999</v>
      </c>
      <c r="F734" s="64">
        <v>6357413.6689979993</v>
      </c>
      <c r="G734" s="64">
        <v>3936738.962142</v>
      </c>
      <c r="H734" s="64">
        <v>1850698.86414</v>
      </c>
      <c r="I734" s="64"/>
      <c r="J734" s="64">
        <v>0</v>
      </c>
      <c r="K734" s="64"/>
      <c r="L734" s="64">
        <v>497262.94218215998</v>
      </c>
      <c r="M734" s="64">
        <v>0</v>
      </c>
      <c r="N734" s="64">
        <v>0</v>
      </c>
      <c r="O734" s="64">
        <v>0</v>
      </c>
      <c r="P734" s="64">
        <v>0</v>
      </c>
      <c r="Q734" s="64">
        <v>0</v>
      </c>
      <c r="R734" s="64"/>
      <c r="S734" s="65"/>
      <c r="T734" s="66">
        <v>235393.65266584005</v>
      </c>
      <c r="U734" s="67"/>
    </row>
    <row r="735" spans="1:22" x14ac:dyDescent="0.25">
      <c r="A735" s="60">
        <f t="shared" si="62"/>
        <v>707</v>
      </c>
      <c r="B735" s="61">
        <f t="shared" si="63"/>
        <v>249</v>
      </c>
      <c r="C735" s="62" t="s">
        <v>46</v>
      </c>
      <c r="D735" s="62" t="s">
        <v>854</v>
      </c>
      <c r="E735" s="88">
        <f t="shared" si="64"/>
        <v>25626300</v>
      </c>
      <c r="F735" s="64"/>
      <c r="G735" s="64"/>
      <c r="H735" s="64"/>
      <c r="I735" s="64"/>
      <c r="J735" s="64"/>
      <c r="K735" s="64"/>
      <c r="L735" s="64"/>
      <c r="M735" s="64">
        <v>24074781.292800002</v>
      </c>
      <c r="N735" s="64"/>
      <c r="O735" s="64"/>
      <c r="P735" s="64"/>
      <c r="Q735" s="64"/>
      <c r="R735" s="64">
        <v>768789</v>
      </c>
      <c r="S735" s="65">
        <v>256263</v>
      </c>
      <c r="T735" s="66">
        <v>526466.70720000006</v>
      </c>
      <c r="U735" s="67"/>
    </row>
    <row r="736" spans="1:22" x14ac:dyDescent="0.25">
      <c r="A736" s="60">
        <f t="shared" si="62"/>
        <v>708</v>
      </c>
      <c r="B736" s="61">
        <f t="shared" si="63"/>
        <v>250</v>
      </c>
      <c r="C736" s="62" t="s">
        <v>46</v>
      </c>
      <c r="D736" s="62" t="s">
        <v>528</v>
      </c>
      <c r="E736" s="88">
        <f t="shared" si="64"/>
        <v>5569053.0165039999</v>
      </c>
      <c r="F736" s="64">
        <v>3860931.116196</v>
      </c>
      <c r="G736" s="64"/>
      <c r="H736" s="64">
        <v>1504229.3604659999</v>
      </c>
      <c r="I736" s="64"/>
      <c r="J736" s="64">
        <v>0</v>
      </c>
      <c r="K736" s="64"/>
      <c r="L736" s="64">
        <v>117503.58224136</v>
      </c>
      <c r="M736" s="64">
        <v>0</v>
      </c>
      <c r="N736" s="64">
        <v>0</v>
      </c>
      <c r="O736" s="64">
        <v>0</v>
      </c>
      <c r="P736" s="64">
        <v>0</v>
      </c>
      <c r="Q736" s="64">
        <v>0</v>
      </c>
      <c r="R736" s="64"/>
      <c r="S736" s="65"/>
      <c r="T736" s="66">
        <v>86388.957600640002</v>
      </c>
      <c r="U736" s="67"/>
    </row>
    <row r="737" spans="1:21" x14ac:dyDescent="0.25">
      <c r="A737" s="60">
        <f t="shared" si="62"/>
        <v>709</v>
      </c>
      <c r="B737" s="61">
        <f t="shared" si="63"/>
        <v>251</v>
      </c>
      <c r="C737" s="62" t="s">
        <v>46</v>
      </c>
      <c r="D737" s="62" t="s">
        <v>270</v>
      </c>
      <c r="E737" s="88">
        <f t="shared" si="64"/>
        <v>13285630.919514</v>
      </c>
      <c r="F737" s="64">
        <v>3907411.9739759997</v>
      </c>
      <c r="G737" s="64"/>
      <c r="H737" s="64">
        <v>1521963.5496660001</v>
      </c>
      <c r="I737" s="64"/>
      <c r="J737" s="64">
        <v>0</v>
      </c>
      <c r="K737" s="64"/>
      <c r="L737" s="64">
        <v>118919.97069456</v>
      </c>
      <c r="M737" s="64">
        <v>0</v>
      </c>
      <c r="N737" s="64">
        <v>7486206.9364320002</v>
      </c>
      <c r="O737" s="64">
        <v>0</v>
      </c>
      <c r="P737" s="64">
        <v>0</v>
      </c>
      <c r="Q737" s="64">
        <v>0</v>
      </c>
      <c r="R737" s="64"/>
      <c r="S737" s="65"/>
      <c r="T737" s="66">
        <v>251128.48874544003</v>
      </c>
      <c r="U737" s="67"/>
    </row>
    <row r="738" spans="1:21" x14ac:dyDescent="0.25">
      <c r="A738" s="60">
        <f t="shared" si="62"/>
        <v>710</v>
      </c>
      <c r="B738" s="61">
        <f t="shared" si="63"/>
        <v>252</v>
      </c>
      <c r="C738" s="62" t="s">
        <v>46</v>
      </c>
      <c r="D738" s="62" t="s">
        <v>271</v>
      </c>
      <c r="E738" s="88">
        <f t="shared" si="64"/>
        <v>6292343.4388953922</v>
      </c>
      <c r="F738" s="64">
        <v>4579944.07</v>
      </c>
      <c r="G738" s="64">
        <v>0</v>
      </c>
      <c r="H738" s="64">
        <v>1495590.896184</v>
      </c>
      <c r="I738" s="64">
        <v>0</v>
      </c>
      <c r="J738" s="64">
        <v>0</v>
      </c>
      <c r="K738" s="64"/>
      <c r="L738" s="64">
        <v>124902.41131799489</v>
      </c>
      <c r="M738" s="64">
        <v>0</v>
      </c>
      <c r="N738" s="64"/>
      <c r="O738" s="64">
        <v>0</v>
      </c>
      <c r="P738" s="64">
        <v>0</v>
      </c>
      <c r="Q738" s="64">
        <v>0</v>
      </c>
      <c r="R738" s="64"/>
      <c r="S738" s="65"/>
      <c r="T738" s="66">
        <v>91906.061393397351</v>
      </c>
      <c r="U738" s="67"/>
    </row>
    <row r="739" spans="1:21" x14ac:dyDescent="0.25">
      <c r="A739" s="60">
        <f t="shared" si="62"/>
        <v>711</v>
      </c>
      <c r="B739" s="61">
        <f t="shared" si="63"/>
        <v>253</v>
      </c>
      <c r="C739" s="62" t="s">
        <v>46</v>
      </c>
      <c r="D739" s="62" t="s">
        <v>1101</v>
      </c>
      <c r="E739" s="88">
        <f t="shared" si="64"/>
        <v>10997668.225369999</v>
      </c>
      <c r="F739" s="64">
        <v>4903713.1158539997</v>
      </c>
      <c r="G739" s="64"/>
      <c r="H739" s="64">
        <v>0</v>
      </c>
      <c r="I739" s="64"/>
      <c r="J739" s="64">
        <v>0</v>
      </c>
      <c r="K739" s="64"/>
      <c r="L739" s="64">
        <v>218511.8445216</v>
      </c>
      <c r="M739" s="64">
        <v>0</v>
      </c>
      <c r="N739" s="64"/>
      <c r="O739" s="64"/>
      <c r="P739" s="64"/>
      <c r="Q739" s="64">
        <v>5526213.8163120002</v>
      </c>
      <c r="R739" s="64"/>
      <c r="S739" s="65"/>
      <c r="T739" s="66">
        <v>349229.44868240005</v>
      </c>
      <c r="U739" s="67"/>
    </row>
    <row r="740" spans="1:21" x14ac:dyDescent="0.25">
      <c r="A740" s="60">
        <f t="shared" si="62"/>
        <v>712</v>
      </c>
      <c r="B740" s="61">
        <f t="shared" si="63"/>
        <v>254</v>
      </c>
      <c r="C740" s="62" t="s">
        <v>46</v>
      </c>
      <c r="D740" s="62" t="s">
        <v>272</v>
      </c>
      <c r="E740" s="88">
        <f t="shared" si="64"/>
        <v>11532330.67818876</v>
      </c>
      <c r="F740" s="64">
        <v>6199194.5115240002</v>
      </c>
      <c r="G740" s="64">
        <v>2285392.4459100002</v>
      </c>
      <c r="H740" s="64">
        <v>2416203.8455380001</v>
      </c>
      <c r="I740" s="64"/>
      <c r="J740" s="64">
        <v>0</v>
      </c>
      <c r="K740" s="64"/>
      <c r="L740" s="64">
        <v>187860.32184275999</v>
      </c>
      <c r="M740" s="64">
        <v>0</v>
      </c>
      <c r="N740" s="64"/>
      <c r="O740" s="64">
        <v>0</v>
      </c>
      <c r="P740" s="64">
        <v>0</v>
      </c>
      <c r="Q740" s="64">
        <v>0</v>
      </c>
      <c r="R740" s="64"/>
      <c r="S740" s="65"/>
      <c r="T740" s="66">
        <v>443679.55337399995</v>
      </c>
      <c r="U740" s="67"/>
    </row>
    <row r="741" spans="1:21" x14ac:dyDescent="0.25">
      <c r="A741" s="60">
        <f t="shared" si="62"/>
        <v>713</v>
      </c>
      <c r="B741" s="61">
        <f t="shared" si="63"/>
        <v>255</v>
      </c>
      <c r="C741" s="62" t="s">
        <v>46</v>
      </c>
      <c r="D741" s="62" t="s">
        <v>273</v>
      </c>
      <c r="E741" s="88">
        <f t="shared" si="64"/>
        <v>5742442.6907279994</v>
      </c>
      <c r="F741" s="64">
        <v>3982032.6019740002</v>
      </c>
      <c r="G741" s="64"/>
      <c r="H741" s="64">
        <v>1551107.3145539998</v>
      </c>
      <c r="I741" s="64"/>
      <c r="J741" s="64">
        <v>0</v>
      </c>
      <c r="K741" s="64"/>
      <c r="L741" s="64">
        <v>121162.59054059999</v>
      </c>
      <c r="M741" s="64">
        <v>0</v>
      </c>
      <c r="N741" s="64"/>
      <c r="O741" s="64">
        <v>0</v>
      </c>
      <c r="P741" s="64">
        <v>0</v>
      </c>
      <c r="Q741" s="64">
        <v>0</v>
      </c>
      <c r="R741" s="64"/>
      <c r="S741" s="65"/>
      <c r="T741" s="66">
        <v>88140.183659400005</v>
      </c>
      <c r="U741" s="67"/>
    </row>
    <row r="742" spans="1:21" x14ac:dyDescent="0.25">
      <c r="A742" s="60">
        <f t="shared" si="62"/>
        <v>714</v>
      </c>
      <c r="B742" s="61">
        <f t="shared" si="63"/>
        <v>256</v>
      </c>
      <c r="C742" s="62" t="s">
        <v>46</v>
      </c>
      <c r="D742" s="62" t="s">
        <v>274</v>
      </c>
      <c r="E742" s="88">
        <f t="shared" si="64"/>
        <v>12145710.702209139</v>
      </c>
      <c r="F742" s="64">
        <v>3658298.7075726003</v>
      </c>
      <c r="G742" s="64"/>
      <c r="H742" s="64">
        <v>1401560.9593595399</v>
      </c>
      <c r="I742" s="64"/>
      <c r="J742" s="64">
        <v>0</v>
      </c>
      <c r="K742" s="64"/>
      <c r="L742" s="64">
        <v>120770.72210951999</v>
      </c>
      <c r="M742" s="64">
        <v>0</v>
      </c>
      <c r="N742" s="64">
        <v>6882439.7186495997</v>
      </c>
      <c r="O742" s="64">
        <v>0</v>
      </c>
      <c r="P742" s="64">
        <v>0</v>
      </c>
      <c r="Q742" s="64">
        <v>0</v>
      </c>
      <c r="R742" s="64"/>
      <c r="S742" s="65"/>
      <c r="T742" s="66">
        <v>82640.594517880003</v>
      </c>
      <c r="U742" s="67"/>
    </row>
    <row r="743" spans="1:21" x14ac:dyDescent="0.25">
      <c r="A743" s="60">
        <f t="shared" si="62"/>
        <v>715</v>
      </c>
      <c r="B743" s="61">
        <f t="shared" si="63"/>
        <v>257</v>
      </c>
      <c r="C743" s="62" t="s">
        <v>46</v>
      </c>
      <c r="D743" s="62" t="s">
        <v>275</v>
      </c>
      <c r="E743" s="88">
        <f t="shared" si="64"/>
        <v>12143811.453101579</v>
      </c>
      <c r="F743" s="64">
        <v>3657726.6514807204</v>
      </c>
      <c r="G743" s="64"/>
      <c r="H743" s="64">
        <v>1401341.7924949802</v>
      </c>
      <c r="I743" s="64"/>
      <c r="J743" s="64">
        <v>0</v>
      </c>
      <c r="K743" s="64"/>
      <c r="L743" s="64">
        <v>120751.8388482</v>
      </c>
      <c r="M743" s="64">
        <v>0</v>
      </c>
      <c r="N743" s="64">
        <v>6881363.4984066002</v>
      </c>
      <c r="O743" s="64">
        <v>0</v>
      </c>
      <c r="P743" s="64">
        <v>0</v>
      </c>
      <c r="Q743" s="64">
        <v>0</v>
      </c>
      <c r="R743" s="64"/>
      <c r="S743" s="65"/>
      <c r="T743" s="66">
        <v>82627.671871080005</v>
      </c>
      <c r="U743" s="67"/>
    </row>
    <row r="744" spans="1:21" x14ac:dyDescent="0.25">
      <c r="A744" s="60">
        <f t="shared" si="62"/>
        <v>716</v>
      </c>
      <c r="B744" s="61">
        <f t="shared" si="63"/>
        <v>258</v>
      </c>
      <c r="C744" s="62" t="s">
        <v>46</v>
      </c>
      <c r="D744" s="62" t="s">
        <v>276</v>
      </c>
      <c r="E744" s="63">
        <f>SUBTOTAL(9,F744:T744)</f>
        <v>13671731.356000001</v>
      </c>
      <c r="F744" s="64">
        <v>4011119.128548</v>
      </c>
      <c r="G744" s="64"/>
      <c r="H744" s="64">
        <v>1562537.0591880002</v>
      </c>
      <c r="I744" s="64"/>
      <c r="J744" s="64">
        <v>0</v>
      </c>
      <c r="K744" s="64"/>
      <c r="L744" s="64">
        <v>122036.02529159999</v>
      </c>
      <c r="M744" s="64">
        <v>0</v>
      </c>
      <c r="N744" s="64">
        <v>7683464.0919540003</v>
      </c>
      <c r="O744" s="64">
        <v>0</v>
      </c>
      <c r="P744" s="64">
        <v>0</v>
      </c>
      <c r="Q744" s="64">
        <v>0</v>
      </c>
      <c r="R744" s="64"/>
      <c r="S744" s="65"/>
      <c r="T744" s="66">
        <v>292575.05101840006</v>
      </c>
      <c r="U744" s="67"/>
    </row>
    <row r="745" spans="1:21" x14ac:dyDescent="0.25">
      <c r="A745" s="60">
        <f t="shared" ref="A745:A804" si="67">+A744+1</f>
        <v>717</v>
      </c>
      <c r="B745" s="61">
        <f t="shared" ref="B745:B804" si="68">+B744+1</f>
        <v>259</v>
      </c>
      <c r="C745" s="62" t="s">
        <v>46</v>
      </c>
      <c r="D745" s="62" t="s">
        <v>277</v>
      </c>
      <c r="E745" s="63">
        <f t="shared" ref="E745" si="69">SUBTOTAL(9,F745:T745)</f>
        <v>2989464.9213971603</v>
      </c>
      <c r="F745" s="64"/>
      <c r="G745" s="64"/>
      <c r="H745" s="64">
        <v>2475810.0486000003</v>
      </c>
      <c r="I745" s="64"/>
      <c r="J745" s="64">
        <v>0</v>
      </c>
      <c r="K745" s="64"/>
      <c r="L745" s="64"/>
      <c r="M745" s="64"/>
      <c r="N745" s="64"/>
      <c r="O745" s="64">
        <v>0</v>
      </c>
      <c r="P745" s="64">
        <v>0</v>
      </c>
      <c r="Q745" s="64">
        <v>0</v>
      </c>
      <c r="R745" s="64"/>
      <c r="S745" s="65"/>
      <c r="T745" s="66">
        <v>513654.87279715994</v>
      </c>
      <c r="U745" s="67"/>
    </row>
    <row r="746" spans="1:21" x14ac:dyDescent="0.25">
      <c r="A746" s="60">
        <f t="shared" si="67"/>
        <v>718</v>
      </c>
      <c r="B746" s="61">
        <f t="shared" si="68"/>
        <v>260</v>
      </c>
      <c r="C746" s="62" t="s">
        <v>46</v>
      </c>
      <c r="D746" s="62" t="s">
        <v>278</v>
      </c>
      <c r="E746" s="88">
        <f t="shared" si="64"/>
        <v>5806452.0971839996</v>
      </c>
      <c r="F746" s="64">
        <v>4026579.3155699996</v>
      </c>
      <c r="G746" s="64"/>
      <c r="H746" s="64">
        <v>1568314.713588</v>
      </c>
      <c r="I746" s="64"/>
      <c r="J746" s="64">
        <v>0</v>
      </c>
      <c r="K746" s="64"/>
      <c r="L746" s="64">
        <v>122527.0476276</v>
      </c>
      <c r="M746" s="64">
        <v>0</v>
      </c>
      <c r="N746" s="64"/>
      <c r="O746" s="64">
        <v>0</v>
      </c>
      <c r="P746" s="64">
        <v>0</v>
      </c>
      <c r="Q746" s="64">
        <v>0</v>
      </c>
      <c r="R746" s="64"/>
      <c r="S746" s="65"/>
      <c r="T746" s="66">
        <v>89031.020398399996</v>
      </c>
      <c r="U746" s="67"/>
    </row>
    <row r="747" spans="1:21" x14ac:dyDescent="0.25">
      <c r="A747" s="60">
        <f t="shared" si="67"/>
        <v>719</v>
      </c>
      <c r="B747" s="61">
        <f t="shared" si="68"/>
        <v>261</v>
      </c>
      <c r="C747" s="62" t="s">
        <v>46</v>
      </c>
      <c r="D747" s="62" t="s">
        <v>279</v>
      </c>
      <c r="E747" s="88">
        <f t="shared" si="64"/>
        <v>13001441.511314001</v>
      </c>
      <c r="F747" s="64">
        <v>3885914.2848959998</v>
      </c>
      <c r="G747" s="64"/>
      <c r="H747" s="64">
        <v>1513519.582134</v>
      </c>
      <c r="I747" s="64"/>
      <c r="J747" s="64">
        <v>0</v>
      </c>
      <c r="K747" s="64"/>
      <c r="L747" s="64">
        <v>118276.93283028001</v>
      </c>
      <c r="M747" s="64">
        <v>0</v>
      </c>
      <c r="N747" s="64">
        <v>7398774.3793740012</v>
      </c>
      <c r="O747" s="64">
        <v>0</v>
      </c>
      <c r="P747" s="64">
        <v>0</v>
      </c>
      <c r="Q747" s="64">
        <v>0</v>
      </c>
      <c r="R747" s="64"/>
      <c r="S747" s="65"/>
      <c r="T747" s="66">
        <v>84956.332079719999</v>
      </c>
      <c r="U747" s="67"/>
    </row>
    <row r="748" spans="1:21" x14ac:dyDescent="0.25">
      <c r="A748" s="60">
        <f t="shared" si="67"/>
        <v>720</v>
      </c>
      <c r="B748" s="61">
        <f t="shared" si="68"/>
        <v>262</v>
      </c>
      <c r="C748" s="62" t="s">
        <v>46</v>
      </c>
      <c r="D748" s="62" t="s">
        <v>281</v>
      </c>
      <c r="E748" s="88">
        <f t="shared" si="64"/>
        <v>13218017.302283997</v>
      </c>
      <c r="F748" s="64">
        <v>3950676.9662219998</v>
      </c>
      <c r="G748" s="64"/>
      <c r="H748" s="64">
        <v>1538875.675722</v>
      </c>
      <c r="I748" s="64"/>
      <c r="J748" s="64">
        <v>0</v>
      </c>
      <c r="K748" s="64"/>
      <c r="L748" s="64">
        <v>120223.04998956002</v>
      </c>
      <c r="M748" s="64">
        <v>0</v>
      </c>
      <c r="N748" s="64">
        <v>7521830.6773679992</v>
      </c>
      <c r="O748" s="64">
        <v>0</v>
      </c>
      <c r="P748" s="64">
        <v>0</v>
      </c>
      <c r="Q748" s="64">
        <v>0</v>
      </c>
      <c r="R748" s="64"/>
      <c r="S748" s="65"/>
      <c r="T748" s="66">
        <v>86410.93298243999</v>
      </c>
      <c r="U748" s="67"/>
    </row>
    <row r="749" spans="1:21" x14ac:dyDescent="0.25">
      <c r="A749" s="60">
        <f t="shared" si="67"/>
        <v>721</v>
      </c>
      <c r="B749" s="61">
        <f t="shared" si="68"/>
        <v>263</v>
      </c>
      <c r="C749" s="62" t="s">
        <v>46</v>
      </c>
      <c r="D749" s="62" t="s">
        <v>845</v>
      </c>
      <c r="E749" s="63">
        <f>SUBTOTAL(9,F749:T749)</f>
        <v>6443087.9000000004</v>
      </c>
      <c r="F749" s="64">
        <v>6305205.8189400006</v>
      </c>
      <c r="G749" s="64">
        <v>0</v>
      </c>
      <c r="H749" s="64">
        <v>0</v>
      </c>
      <c r="I749" s="64">
        <v>0</v>
      </c>
      <c r="J749" s="64">
        <v>0</v>
      </c>
      <c r="K749" s="64"/>
      <c r="L749" s="64"/>
      <c r="M749" s="64">
        <v>0</v>
      </c>
      <c r="N749" s="64">
        <v>0</v>
      </c>
      <c r="O749" s="64">
        <v>0</v>
      </c>
      <c r="P749" s="64">
        <v>0</v>
      </c>
      <c r="Q749" s="64">
        <v>0</v>
      </c>
      <c r="R749" s="64"/>
      <c r="S749" s="65"/>
      <c r="T749" s="66">
        <v>137882.08106000003</v>
      </c>
      <c r="U749" s="67"/>
    </row>
    <row r="750" spans="1:21" x14ac:dyDescent="0.25">
      <c r="A750" s="60">
        <f t="shared" si="67"/>
        <v>722</v>
      </c>
      <c r="B750" s="61">
        <f t="shared" si="68"/>
        <v>264</v>
      </c>
      <c r="C750" s="62" t="s">
        <v>46</v>
      </c>
      <c r="D750" s="62" t="s">
        <v>280</v>
      </c>
      <c r="E750" s="88">
        <f t="shared" si="64"/>
        <v>12543558.134602001</v>
      </c>
      <c r="F750" s="64">
        <v>3735025.2035040008</v>
      </c>
      <c r="G750" s="64"/>
      <c r="H750" s="64">
        <v>1454526.423042</v>
      </c>
      <c r="I750" s="64"/>
      <c r="J750" s="64">
        <v>0</v>
      </c>
      <c r="K750" s="64"/>
      <c r="L750" s="64">
        <v>113745.43921776001</v>
      </c>
      <c r="M750" s="64">
        <v>0</v>
      </c>
      <c r="N750" s="64">
        <v>7157698.5886560008</v>
      </c>
      <c r="O750" s="64">
        <v>0</v>
      </c>
      <c r="P750" s="64">
        <v>0</v>
      </c>
      <c r="Q750" s="64">
        <v>0</v>
      </c>
      <c r="R750" s="64"/>
      <c r="S750" s="65"/>
      <c r="T750" s="66">
        <v>82562.480182240004</v>
      </c>
      <c r="U750" s="67"/>
    </row>
    <row r="751" spans="1:21" x14ac:dyDescent="0.25">
      <c r="A751" s="60">
        <f t="shared" si="67"/>
        <v>723</v>
      </c>
      <c r="B751" s="61">
        <f t="shared" si="68"/>
        <v>265</v>
      </c>
      <c r="C751" s="62" t="s">
        <v>46</v>
      </c>
      <c r="D751" s="62" t="s">
        <v>1102</v>
      </c>
      <c r="E751" s="63">
        <f t="shared" si="64"/>
        <v>6596393.3232227433</v>
      </c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>
        <v>6308293.3064477872</v>
      </c>
      <c r="R751" s="64"/>
      <c r="S751" s="65"/>
      <c r="T751" s="66">
        <v>288100.0167749562</v>
      </c>
      <c r="U751" s="67"/>
    </row>
    <row r="752" spans="1:21" x14ac:dyDescent="0.25">
      <c r="A752" s="60">
        <f t="shared" si="67"/>
        <v>724</v>
      </c>
      <c r="B752" s="61">
        <f t="shared" si="68"/>
        <v>266</v>
      </c>
      <c r="C752" s="62" t="s">
        <v>46</v>
      </c>
      <c r="D752" s="62" t="s">
        <v>1153</v>
      </c>
      <c r="E752" s="63">
        <f>SUBTOTAL(9,F752:T752)</f>
        <v>21345856.605785996</v>
      </c>
      <c r="F752" s="64">
        <v>5008921.6874759998</v>
      </c>
      <c r="G752" s="64">
        <v>3483953.1116460003</v>
      </c>
      <c r="H752" s="64">
        <v>2121517.0782959997</v>
      </c>
      <c r="I752" s="64">
        <v>1954219.3801199999</v>
      </c>
      <c r="J752" s="64">
        <v>0</v>
      </c>
      <c r="K752" s="64"/>
      <c r="L752" s="64">
        <v>223072.98168960001</v>
      </c>
      <c r="M752" s="64">
        <v>0</v>
      </c>
      <c r="N752" s="64">
        <v>2447118.710064</v>
      </c>
      <c r="O752" s="64">
        <v>0</v>
      </c>
      <c r="P752" s="64">
        <v>0</v>
      </c>
      <c r="Q752" s="64">
        <v>5650252.325339999</v>
      </c>
      <c r="R752" s="64"/>
      <c r="S752" s="65"/>
      <c r="T752" s="66">
        <v>456801.33115439996</v>
      </c>
      <c r="U752" s="67"/>
    </row>
    <row r="753" spans="1:21" x14ac:dyDescent="0.25">
      <c r="A753" s="60">
        <f t="shared" si="67"/>
        <v>725</v>
      </c>
      <c r="B753" s="61">
        <f t="shared" si="68"/>
        <v>267</v>
      </c>
      <c r="C753" s="62" t="s">
        <v>46</v>
      </c>
      <c r="D753" s="62" t="s">
        <v>846</v>
      </c>
      <c r="E753" s="63">
        <f>SUBTOTAL(9,F753:T753)</f>
        <v>12608792.0231</v>
      </c>
      <c r="F753" s="64">
        <v>12338963.873805661</v>
      </c>
      <c r="G753" s="64">
        <v>0</v>
      </c>
      <c r="H753" s="64">
        <v>0</v>
      </c>
      <c r="I753" s="64"/>
      <c r="J753" s="64">
        <v>0</v>
      </c>
      <c r="K753" s="64"/>
      <c r="L753" s="64"/>
      <c r="M753" s="64">
        <v>0</v>
      </c>
      <c r="N753" s="64">
        <v>0</v>
      </c>
      <c r="O753" s="64">
        <v>0</v>
      </c>
      <c r="P753" s="64"/>
      <c r="Q753" s="64"/>
      <c r="R753" s="64"/>
      <c r="S753" s="65"/>
      <c r="T753" s="66">
        <v>269828.14929433999</v>
      </c>
      <c r="U753" s="67"/>
    </row>
    <row r="754" spans="1:21" x14ac:dyDescent="0.25">
      <c r="A754" s="60">
        <f t="shared" si="67"/>
        <v>726</v>
      </c>
      <c r="B754" s="61">
        <f t="shared" si="68"/>
        <v>268</v>
      </c>
      <c r="C754" s="62" t="s">
        <v>46</v>
      </c>
      <c r="D754" s="62" t="s">
        <v>855</v>
      </c>
      <c r="E754" s="88">
        <f t="shared" si="64"/>
        <v>53321500.852102242</v>
      </c>
      <c r="F754" s="64">
        <v>13823112.483911639</v>
      </c>
      <c r="G754" s="64">
        <v>9486870.9391226396</v>
      </c>
      <c r="H754" s="64">
        <v>5774829.8742573597</v>
      </c>
      <c r="I754" s="64">
        <v>7075220.4500000002</v>
      </c>
      <c r="J754" s="64">
        <v>0</v>
      </c>
      <c r="K754" s="64"/>
      <c r="L754" s="64">
        <v>665002.67436960002</v>
      </c>
      <c r="M754" s="64">
        <v>0</v>
      </c>
      <c r="N754" s="64">
        <v>0</v>
      </c>
      <c r="O754" s="64">
        <v>0</v>
      </c>
      <c r="P754" s="64">
        <v>0</v>
      </c>
      <c r="Q754" s="64">
        <v>15395294.52263166</v>
      </c>
      <c r="R754" s="64"/>
      <c r="S754" s="65"/>
      <c r="T754" s="66">
        <v>1101169.9078093402</v>
      </c>
      <c r="U754" s="67"/>
    </row>
    <row r="755" spans="1:21" x14ac:dyDescent="0.25">
      <c r="A755" s="60">
        <f t="shared" si="67"/>
        <v>727</v>
      </c>
      <c r="B755" s="61">
        <f t="shared" si="68"/>
        <v>269</v>
      </c>
      <c r="C755" s="62" t="s">
        <v>46</v>
      </c>
      <c r="D755" s="62" t="s">
        <v>848</v>
      </c>
      <c r="E755" s="63">
        <f>SUBTOTAL(9,F755:T755)</f>
        <v>5340335.5010032002</v>
      </c>
      <c r="F755" s="64">
        <v>5007132.5620260006</v>
      </c>
      <c r="G755" s="64"/>
      <c r="H755" s="64"/>
      <c r="I755" s="64"/>
      <c r="J755" s="64"/>
      <c r="K755" s="64"/>
      <c r="L755" s="64">
        <v>223707.09100319998</v>
      </c>
      <c r="M755" s="64">
        <v>0</v>
      </c>
      <c r="N755" s="64">
        <v>0</v>
      </c>
      <c r="O755" s="64">
        <v>0</v>
      </c>
      <c r="P755" s="64">
        <v>0</v>
      </c>
      <c r="Q755" s="64"/>
      <c r="R755" s="64"/>
      <c r="S755" s="65"/>
      <c r="T755" s="66">
        <v>109495.84797400002</v>
      </c>
      <c r="U755" s="67"/>
    </row>
    <row r="756" spans="1:21" x14ac:dyDescent="0.25">
      <c r="A756" s="60">
        <f t="shared" si="67"/>
        <v>728</v>
      </c>
      <c r="B756" s="61">
        <f t="shared" si="68"/>
        <v>270</v>
      </c>
      <c r="C756" s="62" t="s">
        <v>46</v>
      </c>
      <c r="D756" s="62" t="s">
        <v>856</v>
      </c>
      <c r="E756" s="88">
        <f t="shared" si="64"/>
        <v>4344120.7939999998</v>
      </c>
      <c r="F756" s="64">
        <v>0</v>
      </c>
      <c r="G756" s="64">
        <v>0</v>
      </c>
      <c r="H756" s="64">
        <v>4251156.6090083998</v>
      </c>
      <c r="I756" s="64">
        <v>0</v>
      </c>
      <c r="J756" s="64">
        <v>0</v>
      </c>
      <c r="K756" s="64"/>
      <c r="L756" s="64"/>
      <c r="M756" s="64">
        <v>0</v>
      </c>
      <c r="N756" s="64">
        <v>0</v>
      </c>
      <c r="O756" s="64">
        <v>0</v>
      </c>
      <c r="P756" s="64">
        <v>0</v>
      </c>
      <c r="Q756" s="64">
        <v>0</v>
      </c>
      <c r="R756" s="64"/>
      <c r="S756" s="65"/>
      <c r="T756" s="66">
        <v>92964.184991599992</v>
      </c>
      <c r="U756" s="67"/>
    </row>
    <row r="757" spans="1:21" x14ac:dyDescent="0.25">
      <c r="A757" s="60">
        <f t="shared" si="67"/>
        <v>729</v>
      </c>
      <c r="B757" s="61">
        <f t="shared" si="68"/>
        <v>271</v>
      </c>
      <c r="C757" s="62" t="s">
        <v>46</v>
      </c>
      <c r="D757" s="62" t="s">
        <v>1154</v>
      </c>
      <c r="E757" s="88">
        <f t="shared" si="64"/>
        <v>3266851.3906</v>
      </c>
      <c r="F757" s="64"/>
      <c r="G757" s="64">
        <v>3196940.7708411599</v>
      </c>
      <c r="H757" s="64">
        <v>0</v>
      </c>
      <c r="I757" s="64">
        <v>0</v>
      </c>
      <c r="J757" s="64">
        <v>0</v>
      </c>
      <c r="K757" s="64"/>
      <c r="L757" s="64"/>
      <c r="M757" s="64">
        <v>0</v>
      </c>
      <c r="N757" s="64">
        <v>0</v>
      </c>
      <c r="O757" s="64">
        <v>0</v>
      </c>
      <c r="P757" s="64">
        <v>0</v>
      </c>
      <c r="Q757" s="64">
        <v>0</v>
      </c>
      <c r="R757" s="64"/>
      <c r="S757" s="65"/>
      <c r="T757" s="66">
        <v>69910.61975884001</v>
      </c>
      <c r="U757" s="67"/>
    </row>
    <row r="758" spans="1:21" x14ac:dyDescent="0.25">
      <c r="A758" s="60">
        <f t="shared" si="67"/>
        <v>730</v>
      </c>
      <c r="B758" s="61">
        <f t="shared" si="68"/>
        <v>272</v>
      </c>
      <c r="C758" s="62" t="s">
        <v>46</v>
      </c>
      <c r="D758" s="62" t="s">
        <v>1155</v>
      </c>
      <c r="E758" s="63">
        <f>SUBTOTAL(9,F758:T758)</f>
        <v>8858174.1696719993</v>
      </c>
      <c r="F758" s="64">
        <v>4988188.1969219996</v>
      </c>
      <c r="G758" s="64">
        <v>3464508.143712</v>
      </c>
      <c r="H758" s="64">
        <v>0</v>
      </c>
      <c r="I758" s="64">
        <v>0</v>
      </c>
      <c r="J758" s="64">
        <v>0</v>
      </c>
      <c r="K758" s="64"/>
      <c r="L758" s="64">
        <v>222883.86136800001</v>
      </c>
      <c r="M758" s="64">
        <v>0</v>
      </c>
      <c r="N758" s="64">
        <v>0</v>
      </c>
      <c r="O758" s="64">
        <v>0</v>
      </c>
      <c r="P758" s="64">
        <v>0</v>
      </c>
      <c r="Q758" s="64">
        <v>0</v>
      </c>
      <c r="R758" s="64"/>
      <c r="S758" s="65"/>
      <c r="T758" s="66">
        <v>182593.96767000001</v>
      </c>
      <c r="U758" s="67"/>
    </row>
    <row r="759" spans="1:21" x14ac:dyDescent="0.25">
      <c r="A759" s="60">
        <f t="shared" si="67"/>
        <v>731</v>
      </c>
      <c r="B759" s="61">
        <f t="shared" si="68"/>
        <v>273</v>
      </c>
      <c r="C759" s="62" t="s">
        <v>46</v>
      </c>
      <c r="D759" s="62" t="s">
        <v>850</v>
      </c>
      <c r="E759" s="63">
        <f>SUBTOTAL(9,F759:T759)</f>
        <v>7481358.0205419995</v>
      </c>
      <c r="F759" s="64">
        <v>4993428.7956419997</v>
      </c>
      <c r="G759" s="64"/>
      <c r="H759" s="64">
        <v>2109950.6526000001</v>
      </c>
      <c r="I759" s="64">
        <v>0</v>
      </c>
      <c r="J759" s="64">
        <v>0</v>
      </c>
      <c r="K759" s="64"/>
      <c r="L759" s="64">
        <v>222783.73884480001</v>
      </c>
      <c r="M759" s="64">
        <v>0</v>
      </c>
      <c r="N759" s="64">
        <v>0</v>
      </c>
      <c r="O759" s="64">
        <v>0</v>
      </c>
      <c r="P759" s="64">
        <v>0</v>
      </c>
      <c r="Q759" s="64">
        <v>0</v>
      </c>
      <c r="R759" s="64"/>
      <c r="S759" s="65"/>
      <c r="T759" s="66">
        <v>155194.83345520002</v>
      </c>
      <c r="U759" s="67"/>
    </row>
    <row r="760" spans="1:21" x14ac:dyDescent="0.25">
      <c r="A760" s="60">
        <f t="shared" si="67"/>
        <v>732</v>
      </c>
      <c r="B760" s="61">
        <f t="shared" si="68"/>
        <v>274</v>
      </c>
      <c r="C760" s="62" t="s">
        <v>46</v>
      </c>
      <c r="D760" s="62" t="s">
        <v>1156</v>
      </c>
      <c r="E760" s="88">
        <f t="shared" si="64"/>
        <v>3137273.6384000001</v>
      </c>
      <c r="F760" s="64"/>
      <c r="G760" s="64">
        <v>3070135.98253824</v>
      </c>
      <c r="H760" s="64">
        <v>0</v>
      </c>
      <c r="I760" s="64">
        <v>0</v>
      </c>
      <c r="J760" s="64">
        <v>0</v>
      </c>
      <c r="K760" s="64"/>
      <c r="L760" s="64"/>
      <c r="M760" s="64">
        <v>0</v>
      </c>
      <c r="N760" s="64">
        <v>0</v>
      </c>
      <c r="O760" s="64">
        <v>0</v>
      </c>
      <c r="P760" s="64">
        <v>0</v>
      </c>
      <c r="Q760" s="64">
        <v>0</v>
      </c>
      <c r="R760" s="64"/>
      <c r="S760" s="65"/>
      <c r="T760" s="66">
        <v>67137.655861760009</v>
      </c>
      <c r="U760" s="67"/>
    </row>
    <row r="761" spans="1:21" x14ac:dyDescent="0.25">
      <c r="A761" s="60">
        <f t="shared" si="67"/>
        <v>733</v>
      </c>
      <c r="B761" s="61">
        <f t="shared" si="68"/>
        <v>275</v>
      </c>
      <c r="C761" s="62" t="s">
        <v>46</v>
      </c>
      <c r="D761" s="62" t="s">
        <v>1157</v>
      </c>
      <c r="E761" s="88">
        <f t="shared" si="64"/>
        <v>5749866.5198840005</v>
      </c>
      <c r="F761" s="64"/>
      <c r="G761" s="64">
        <v>3526312.8793200003</v>
      </c>
      <c r="H761" s="64">
        <v>2147628.2009279998</v>
      </c>
      <c r="I761" s="64">
        <v>0</v>
      </c>
      <c r="J761" s="64">
        <v>0</v>
      </c>
      <c r="K761" s="64"/>
      <c r="L761" s="64"/>
      <c r="M761" s="64">
        <v>0</v>
      </c>
      <c r="N761" s="64">
        <v>0</v>
      </c>
      <c r="O761" s="64">
        <v>0</v>
      </c>
      <c r="P761" s="64">
        <v>0</v>
      </c>
      <c r="Q761" s="64">
        <v>0</v>
      </c>
      <c r="R761" s="64"/>
      <c r="S761" s="65"/>
      <c r="T761" s="66">
        <v>75925.43963600001</v>
      </c>
      <c r="U761" s="67"/>
    </row>
    <row r="762" spans="1:21" x14ac:dyDescent="0.25">
      <c r="A762" s="60">
        <f t="shared" si="67"/>
        <v>734</v>
      </c>
      <c r="B762" s="61">
        <f t="shared" si="68"/>
        <v>276</v>
      </c>
      <c r="C762" s="62" t="s">
        <v>46</v>
      </c>
      <c r="D762" s="62" t="s">
        <v>857</v>
      </c>
      <c r="E762" s="88">
        <f t="shared" si="64"/>
        <v>4271050</v>
      </c>
      <c r="F762" s="64"/>
      <c r="G762" s="64"/>
      <c r="H762" s="64"/>
      <c r="I762" s="64"/>
      <c r="J762" s="64"/>
      <c r="K762" s="64"/>
      <c r="L762" s="64"/>
      <c r="M762" s="64">
        <v>4012463.5488</v>
      </c>
      <c r="N762" s="64"/>
      <c r="O762" s="64"/>
      <c r="P762" s="64"/>
      <c r="Q762" s="64"/>
      <c r="R762" s="64">
        <v>128131.5</v>
      </c>
      <c r="S762" s="65">
        <v>42710.5</v>
      </c>
      <c r="T762" s="66">
        <v>87744.45120000001</v>
      </c>
      <c r="U762" s="67"/>
    </row>
    <row r="763" spans="1:21" x14ac:dyDescent="0.25">
      <c r="A763" s="60">
        <f t="shared" si="67"/>
        <v>735</v>
      </c>
      <c r="B763" s="61">
        <f t="shared" si="68"/>
        <v>277</v>
      </c>
      <c r="C763" s="62" t="s">
        <v>46</v>
      </c>
      <c r="D763" s="62" t="s">
        <v>1158</v>
      </c>
      <c r="E763" s="63">
        <f>SUBTOTAL(9,F763:T763)</f>
        <v>3195363.8498400003</v>
      </c>
      <c r="F763" s="64">
        <v>0</v>
      </c>
      <c r="G763" s="64">
        <v>0</v>
      </c>
      <c r="H763" s="64">
        <v>0</v>
      </c>
      <c r="I763" s="64">
        <v>0</v>
      </c>
      <c r="J763" s="64">
        <v>0</v>
      </c>
      <c r="K763" s="64"/>
      <c r="L763" s="64"/>
      <c r="M763" s="64">
        <v>0</v>
      </c>
      <c r="N763" s="64">
        <v>3054781.0748700001</v>
      </c>
      <c r="O763" s="64">
        <v>0</v>
      </c>
      <c r="P763" s="64">
        <v>0</v>
      </c>
      <c r="Q763" s="64">
        <v>0</v>
      </c>
      <c r="R763" s="64"/>
      <c r="S763" s="65"/>
      <c r="T763" s="66">
        <v>140582.77497</v>
      </c>
      <c r="U763" s="67"/>
    </row>
    <row r="764" spans="1:21" x14ac:dyDescent="0.25">
      <c r="A764" s="60">
        <f t="shared" si="67"/>
        <v>736</v>
      </c>
      <c r="B764" s="61">
        <f t="shared" si="68"/>
        <v>278</v>
      </c>
      <c r="C764" s="62" t="s">
        <v>57</v>
      </c>
      <c r="D764" s="62" t="s">
        <v>987</v>
      </c>
      <c r="E764" s="88">
        <f t="shared" si="64"/>
        <v>6448840.0972000007</v>
      </c>
      <c r="F764" s="64">
        <v>3861288.8462639404</v>
      </c>
      <c r="G764" s="64">
        <v>2292533.9415640198</v>
      </c>
      <c r="H764" s="64">
        <v>0</v>
      </c>
      <c r="I764" s="64">
        <v>0</v>
      </c>
      <c r="J764" s="64">
        <v>0</v>
      </c>
      <c r="K764" s="64"/>
      <c r="L764" s="64">
        <v>157012.13129196005</v>
      </c>
      <c r="M764" s="64">
        <v>0</v>
      </c>
      <c r="N764" s="64">
        <v>0</v>
      </c>
      <c r="O764" s="64">
        <v>0</v>
      </c>
      <c r="P764" s="64">
        <v>0</v>
      </c>
      <c r="Q764" s="64">
        <v>0</v>
      </c>
      <c r="R764" s="64"/>
      <c r="S764" s="65"/>
      <c r="T764" s="66">
        <v>138005.17808008002</v>
      </c>
      <c r="U764" s="67"/>
    </row>
    <row r="765" spans="1:21" x14ac:dyDescent="0.25">
      <c r="A765" s="60">
        <f t="shared" si="67"/>
        <v>737</v>
      </c>
      <c r="B765" s="61">
        <f t="shared" si="68"/>
        <v>279</v>
      </c>
      <c r="C765" s="62" t="s">
        <v>58</v>
      </c>
      <c r="D765" s="62" t="s">
        <v>988</v>
      </c>
      <c r="E765" s="88">
        <f t="shared" si="64"/>
        <v>21340738.469357993</v>
      </c>
      <c r="F765" s="64">
        <v>6939898.4786422197</v>
      </c>
      <c r="G765" s="64"/>
      <c r="H765" s="64">
        <v>0</v>
      </c>
      <c r="I765" s="64">
        <v>0</v>
      </c>
      <c r="J765" s="64">
        <v>0</v>
      </c>
      <c r="K765" s="64"/>
      <c r="L765" s="64">
        <v>229105.55551800001</v>
      </c>
      <c r="M765" s="64">
        <v>0</v>
      </c>
      <c r="N765" s="64">
        <v>14014962.836657992</v>
      </c>
      <c r="O765" s="64">
        <v>0</v>
      </c>
      <c r="P765" s="64">
        <v>0</v>
      </c>
      <c r="Q765" s="64">
        <v>0</v>
      </c>
      <c r="R765" s="64"/>
      <c r="S765" s="65"/>
      <c r="T765" s="66">
        <v>156771.59853977998</v>
      </c>
      <c r="U765" s="67"/>
    </row>
    <row r="766" spans="1:21" x14ac:dyDescent="0.25">
      <c r="A766" s="60">
        <f t="shared" si="67"/>
        <v>738</v>
      </c>
      <c r="B766" s="61">
        <f t="shared" si="68"/>
        <v>280</v>
      </c>
      <c r="C766" s="62" t="s">
        <v>58</v>
      </c>
      <c r="D766" s="62" t="s">
        <v>989</v>
      </c>
      <c r="E766" s="88">
        <f t="shared" si="64"/>
        <v>7269616.2805000003</v>
      </c>
      <c r="F766" s="64">
        <v>6886697.2620973801</v>
      </c>
      <c r="G766" s="64"/>
      <c r="H766" s="64">
        <v>0</v>
      </c>
      <c r="I766" s="64">
        <v>0</v>
      </c>
      <c r="J766" s="64">
        <v>0</v>
      </c>
      <c r="K766" s="64"/>
      <c r="L766" s="64">
        <v>227349.22999992</v>
      </c>
      <c r="M766" s="64">
        <v>0</v>
      </c>
      <c r="N766" s="64"/>
      <c r="O766" s="64">
        <v>0</v>
      </c>
      <c r="P766" s="64">
        <v>0</v>
      </c>
      <c r="Q766" s="64">
        <v>0</v>
      </c>
      <c r="R766" s="64"/>
      <c r="S766" s="65"/>
      <c r="T766" s="66">
        <v>155569.78840269998</v>
      </c>
      <c r="U766" s="67"/>
    </row>
    <row r="767" spans="1:21" x14ac:dyDescent="0.25">
      <c r="A767" s="60">
        <f t="shared" si="67"/>
        <v>739</v>
      </c>
      <c r="B767" s="61">
        <f t="shared" si="68"/>
        <v>281</v>
      </c>
      <c r="C767" s="62" t="s">
        <v>58</v>
      </c>
      <c r="D767" s="62" t="s">
        <v>984</v>
      </c>
      <c r="E767" s="63">
        <f t="shared" si="64"/>
        <v>6508078.4003988793</v>
      </c>
      <c r="F767" s="64"/>
      <c r="G767" s="64"/>
      <c r="H767" s="64"/>
      <c r="I767" s="64"/>
      <c r="J767" s="64"/>
      <c r="K767" s="64"/>
      <c r="L767" s="64"/>
      <c r="M767" s="64">
        <v>0</v>
      </c>
      <c r="N767" s="64">
        <v>6282061.3226499995</v>
      </c>
      <c r="O767" s="64">
        <v>0</v>
      </c>
      <c r="P767" s="64">
        <v>0</v>
      </c>
      <c r="Q767" s="64">
        <v>0</v>
      </c>
      <c r="R767" s="64"/>
      <c r="S767" s="65"/>
      <c r="T767" s="66">
        <v>226017.07774887996</v>
      </c>
      <c r="U767" s="67"/>
    </row>
    <row r="768" spans="1:21" x14ac:dyDescent="0.25">
      <c r="A768" s="60">
        <f t="shared" si="67"/>
        <v>740</v>
      </c>
      <c r="B768" s="61">
        <f t="shared" si="68"/>
        <v>282</v>
      </c>
      <c r="C768" s="62" t="s">
        <v>59</v>
      </c>
      <c r="D768" s="62" t="s">
        <v>1186</v>
      </c>
      <c r="E768" s="63">
        <f t="shared" ref="E768:E782" si="70">SUBTOTAL(9,F768:T768)</f>
        <v>39105310.514938325</v>
      </c>
      <c r="F768" s="64"/>
      <c r="G768" s="64"/>
      <c r="H768" s="64"/>
      <c r="I768" s="64"/>
      <c r="J768" s="64"/>
      <c r="K768" s="64"/>
      <c r="L768" s="64"/>
      <c r="M768" s="64"/>
      <c r="N768" s="64">
        <v>38268456.869918644</v>
      </c>
      <c r="O768" s="64"/>
      <c r="P768" s="64"/>
      <c r="Q768" s="64"/>
      <c r="R768" s="64"/>
      <c r="S768" s="65"/>
      <c r="T768" s="66">
        <v>836853.64501968026</v>
      </c>
      <c r="U768" s="67"/>
    </row>
    <row r="769" spans="1:21" x14ac:dyDescent="0.25">
      <c r="A769" s="60">
        <f t="shared" si="67"/>
        <v>741</v>
      </c>
      <c r="B769" s="61">
        <f t="shared" si="68"/>
        <v>283</v>
      </c>
      <c r="C769" s="62" t="s">
        <v>59</v>
      </c>
      <c r="D769" s="62" t="s">
        <v>990</v>
      </c>
      <c r="E769" s="63">
        <f t="shared" si="70"/>
        <v>22010479.830000002</v>
      </c>
      <c r="F769" s="64">
        <v>0</v>
      </c>
      <c r="G769" s="64">
        <v>0</v>
      </c>
      <c r="H769" s="64">
        <v>0</v>
      </c>
      <c r="I769" s="64">
        <v>0</v>
      </c>
      <c r="J769" s="64">
        <v>0</v>
      </c>
      <c r="K769" s="64"/>
      <c r="L769" s="64"/>
      <c r="M769" s="64">
        <v>0</v>
      </c>
      <c r="N769" s="64">
        <v>21539455.561638001</v>
      </c>
      <c r="O769" s="64">
        <v>0</v>
      </c>
      <c r="P769" s="64">
        <v>0</v>
      </c>
      <c r="Q769" s="64">
        <v>0</v>
      </c>
      <c r="R769" s="64"/>
      <c r="S769" s="65"/>
      <c r="T769" s="66">
        <v>471024.26836200006</v>
      </c>
      <c r="U769" s="67"/>
    </row>
    <row r="770" spans="1:21" x14ac:dyDescent="0.25">
      <c r="A770" s="60">
        <f t="shared" si="67"/>
        <v>742</v>
      </c>
      <c r="B770" s="61">
        <f t="shared" si="68"/>
        <v>284</v>
      </c>
      <c r="C770" s="62" t="s">
        <v>59</v>
      </c>
      <c r="D770" s="62" t="s">
        <v>991</v>
      </c>
      <c r="E770" s="63">
        <f t="shared" si="70"/>
        <v>12502160.831344539</v>
      </c>
      <c r="F770" s="64">
        <v>0</v>
      </c>
      <c r="G770" s="64">
        <v>0</v>
      </c>
      <c r="H770" s="64">
        <v>0</v>
      </c>
      <c r="I770" s="64">
        <v>0</v>
      </c>
      <c r="J770" s="64">
        <v>0</v>
      </c>
      <c r="K770" s="64"/>
      <c r="L770" s="64"/>
      <c r="M770" s="64">
        <v>0</v>
      </c>
      <c r="N770" s="64">
        <v>12234614.589553766</v>
      </c>
      <c r="O770" s="64">
        <v>0</v>
      </c>
      <c r="P770" s="64">
        <v>0</v>
      </c>
      <c r="Q770" s="64">
        <v>0</v>
      </c>
      <c r="R770" s="64"/>
      <c r="S770" s="65"/>
      <c r="T770" s="66">
        <v>267546.24179077317</v>
      </c>
      <c r="U770" s="67"/>
    </row>
    <row r="771" spans="1:21" x14ac:dyDescent="0.25">
      <c r="A771" s="60">
        <f t="shared" si="67"/>
        <v>743</v>
      </c>
      <c r="B771" s="61">
        <f t="shared" si="68"/>
        <v>285</v>
      </c>
      <c r="C771" s="62" t="s">
        <v>67</v>
      </c>
      <c r="D771" s="62" t="s">
        <v>858</v>
      </c>
      <c r="E771" s="63">
        <f t="shared" si="70"/>
        <v>1832846.1297638123</v>
      </c>
      <c r="F771" s="64"/>
      <c r="G771" s="64">
        <v>880894.3</v>
      </c>
      <c r="H771" s="64">
        <v>292852.17</v>
      </c>
      <c r="I771" s="64">
        <v>569808.16</v>
      </c>
      <c r="J771" s="64">
        <v>0</v>
      </c>
      <c r="K771" s="64"/>
      <c r="L771" s="64"/>
      <c r="M771" s="64">
        <v>0</v>
      </c>
      <c r="N771" s="71"/>
      <c r="O771" s="64"/>
      <c r="P771" s="64"/>
      <c r="Q771" s="64"/>
      <c r="R771" s="64"/>
      <c r="S771" s="65"/>
      <c r="T771" s="66">
        <v>89291.499763812477</v>
      </c>
      <c r="U771" s="67"/>
    </row>
    <row r="772" spans="1:21" x14ac:dyDescent="0.25">
      <c r="A772" s="60">
        <f t="shared" si="67"/>
        <v>744</v>
      </c>
      <c r="B772" s="61">
        <f t="shared" si="68"/>
        <v>286</v>
      </c>
      <c r="C772" s="62" t="s">
        <v>67</v>
      </c>
      <c r="D772" s="62" t="s">
        <v>859</v>
      </c>
      <c r="E772" s="63">
        <f t="shared" si="70"/>
        <v>8034419.9657033095</v>
      </c>
      <c r="F772" s="64">
        <v>0</v>
      </c>
      <c r="G772" s="64">
        <v>0</v>
      </c>
      <c r="H772" s="64">
        <v>2128126.3097030208</v>
      </c>
      <c r="I772" s="64"/>
      <c r="J772" s="64"/>
      <c r="K772" s="64"/>
      <c r="L772" s="64"/>
      <c r="M772" s="64"/>
      <c r="N772" s="64"/>
      <c r="O772" s="64"/>
      <c r="P772" s="64"/>
      <c r="Q772" s="64">
        <v>5673685.3984161094</v>
      </c>
      <c r="R772" s="64"/>
      <c r="S772" s="65"/>
      <c r="T772" s="66">
        <v>232608.25758417978</v>
      </c>
      <c r="U772" s="67"/>
    </row>
    <row r="773" spans="1:21" x14ac:dyDescent="0.25">
      <c r="A773" s="60">
        <f t="shared" si="67"/>
        <v>745</v>
      </c>
      <c r="B773" s="61">
        <f t="shared" si="68"/>
        <v>287</v>
      </c>
      <c r="C773" s="62" t="s">
        <v>67</v>
      </c>
      <c r="D773" s="62" t="s">
        <v>860</v>
      </c>
      <c r="E773" s="63">
        <f t="shared" si="70"/>
        <v>9688406.258375138</v>
      </c>
      <c r="F773" s="64">
        <v>1130532.8799999999</v>
      </c>
      <c r="G773" s="64">
        <v>322661.12</v>
      </c>
      <c r="H773" s="64">
        <v>2032941.39</v>
      </c>
      <c r="I773" s="64">
        <v>361992.49</v>
      </c>
      <c r="J773" s="64">
        <v>0</v>
      </c>
      <c r="K773" s="64"/>
      <c r="L773" s="64"/>
      <c r="M773" s="64">
        <v>0</v>
      </c>
      <c r="N773" s="64">
        <v>0</v>
      </c>
      <c r="O773" s="64">
        <v>0</v>
      </c>
      <c r="P773" s="64">
        <v>0</v>
      </c>
      <c r="Q773" s="64">
        <v>5683076.9400000004</v>
      </c>
      <c r="R773" s="64"/>
      <c r="S773" s="65"/>
      <c r="T773" s="66">
        <v>157201.43837513844</v>
      </c>
      <c r="U773" s="67"/>
    </row>
    <row r="774" spans="1:21" x14ac:dyDescent="0.25">
      <c r="A774" s="60">
        <f t="shared" si="67"/>
        <v>746</v>
      </c>
      <c r="B774" s="61">
        <f t="shared" si="68"/>
        <v>288</v>
      </c>
      <c r="C774" s="62" t="s">
        <v>67</v>
      </c>
      <c r="D774" s="62" t="s">
        <v>861</v>
      </c>
      <c r="E774" s="63">
        <f t="shared" si="70"/>
        <v>6648750.9974127999</v>
      </c>
      <c r="F774" s="64">
        <v>0</v>
      </c>
      <c r="G774" s="64">
        <v>0</v>
      </c>
      <c r="H774" s="64">
        <v>0</v>
      </c>
      <c r="I774" s="64">
        <v>0</v>
      </c>
      <c r="J774" s="64">
        <v>0</v>
      </c>
      <c r="K774" s="64"/>
      <c r="L774" s="64"/>
      <c r="M774" s="64">
        <v>0</v>
      </c>
      <c r="N774" s="64">
        <v>0</v>
      </c>
      <c r="O774" s="64">
        <v>0</v>
      </c>
      <c r="P774" s="64">
        <v>6506467.7260681661</v>
      </c>
      <c r="Q774" s="64"/>
      <c r="R774" s="64"/>
      <c r="S774" s="65"/>
      <c r="T774" s="66">
        <v>142283.27134463392</v>
      </c>
      <c r="U774" s="67"/>
    </row>
    <row r="775" spans="1:21" x14ac:dyDescent="0.25">
      <c r="A775" s="60">
        <f t="shared" si="67"/>
        <v>747</v>
      </c>
      <c r="B775" s="61">
        <f t="shared" si="68"/>
        <v>289</v>
      </c>
      <c r="C775" s="62" t="s">
        <v>67</v>
      </c>
      <c r="D775" s="62" t="s">
        <v>862</v>
      </c>
      <c r="E775" s="63">
        <f t="shared" si="70"/>
        <v>9102569.4658067226</v>
      </c>
      <c r="F775" s="64">
        <v>0</v>
      </c>
      <c r="G775" s="64">
        <v>0</v>
      </c>
      <c r="H775" s="64">
        <v>2428644.2700873055</v>
      </c>
      <c r="I775" s="64">
        <v>0</v>
      </c>
      <c r="J775" s="64">
        <v>0</v>
      </c>
      <c r="K775" s="64"/>
      <c r="L775" s="64">
        <v>0</v>
      </c>
      <c r="M775" s="64">
        <v>0</v>
      </c>
      <c r="N775" s="64">
        <v>0</v>
      </c>
      <c r="O775" s="64">
        <v>0</v>
      </c>
      <c r="P775" s="64">
        <v>0</v>
      </c>
      <c r="Q775" s="64">
        <v>6479130.2091511516</v>
      </c>
      <c r="R775" s="64"/>
      <c r="S775" s="65"/>
      <c r="T775" s="66">
        <v>194794.98656826385</v>
      </c>
      <c r="U775" s="67"/>
    </row>
    <row r="776" spans="1:21" x14ac:dyDescent="0.25">
      <c r="A776" s="60">
        <f t="shared" si="67"/>
        <v>748</v>
      </c>
      <c r="B776" s="61">
        <f t="shared" si="68"/>
        <v>290</v>
      </c>
      <c r="C776" s="62" t="s">
        <v>67</v>
      </c>
      <c r="D776" s="62" t="s">
        <v>1059</v>
      </c>
      <c r="E776" s="63">
        <f t="shared" si="70"/>
        <v>7717731.9717803607</v>
      </c>
      <c r="F776" s="64">
        <v>0</v>
      </c>
      <c r="G776" s="64">
        <v>0</v>
      </c>
      <c r="H776" s="64">
        <v>1228652.79</v>
      </c>
      <c r="I776" s="64">
        <v>1678642.03</v>
      </c>
      <c r="J776" s="64">
        <v>0</v>
      </c>
      <c r="K776" s="64"/>
      <c r="L776" s="64"/>
      <c r="M776" s="64">
        <v>0</v>
      </c>
      <c r="N776" s="64">
        <v>3803871.23</v>
      </c>
      <c r="O776" s="64">
        <v>0</v>
      </c>
      <c r="P776" s="64">
        <v>0</v>
      </c>
      <c r="Q776" s="64"/>
      <c r="R776" s="64"/>
      <c r="S776" s="65"/>
      <c r="T776" s="66">
        <v>1006565.9217803602</v>
      </c>
      <c r="U776" s="67"/>
    </row>
    <row r="777" spans="1:21" x14ac:dyDescent="0.25">
      <c r="A777" s="60">
        <f t="shared" si="67"/>
        <v>749</v>
      </c>
      <c r="B777" s="61">
        <f t="shared" si="68"/>
        <v>291</v>
      </c>
      <c r="C777" s="62" t="s">
        <v>67</v>
      </c>
      <c r="D777" s="62" t="s">
        <v>863</v>
      </c>
      <c r="E777" s="63">
        <f t="shared" si="70"/>
        <v>6161823.346674839</v>
      </c>
      <c r="F777" s="64">
        <v>0</v>
      </c>
      <c r="G777" s="64">
        <v>0</v>
      </c>
      <c r="H777" s="64">
        <v>1076716.6299999999</v>
      </c>
      <c r="I777" s="64">
        <v>1632309.59</v>
      </c>
      <c r="J777" s="64">
        <v>0</v>
      </c>
      <c r="K777" s="64"/>
      <c r="L777" s="64"/>
      <c r="M777" s="64">
        <v>0</v>
      </c>
      <c r="N777" s="64">
        <v>2825101.65</v>
      </c>
      <c r="O777" s="64">
        <v>0</v>
      </c>
      <c r="P777" s="64"/>
      <c r="Q777" s="64"/>
      <c r="R777" s="64"/>
      <c r="S777" s="65"/>
      <c r="T777" s="66">
        <v>627695.47667484009</v>
      </c>
      <c r="U777" s="67"/>
    </row>
    <row r="778" spans="1:21" x14ac:dyDescent="0.25">
      <c r="A778" s="60">
        <f t="shared" si="67"/>
        <v>750</v>
      </c>
      <c r="B778" s="61">
        <f t="shared" si="68"/>
        <v>292</v>
      </c>
      <c r="C778" s="62" t="s">
        <v>67</v>
      </c>
      <c r="D778" s="62" t="s">
        <v>864</v>
      </c>
      <c r="E778" s="63">
        <f t="shared" si="70"/>
        <v>8194296.4237568006</v>
      </c>
      <c r="F778" s="64"/>
      <c r="G778" s="64"/>
      <c r="H778" s="64">
        <v>2187835.7883797591</v>
      </c>
      <c r="I778" s="64"/>
      <c r="J778" s="64"/>
      <c r="K778" s="64"/>
      <c r="L778" s="64"/>
      <c r="M778" s="64"/>
      <c r="N778" s="64"/>
      <c r="O778" s="64"/>
      <c r="P778" s="64"/>
      <c r="Q778" s="64">
        <v>5831102.6919086454</v>
      </c>
      <c r="R778" s="64"/>
      <c r="S778" s="65"/>
      <c r="T778" s="66">
        <v>175357.9434683955</v>
      </c>
      <c r="U778" s="67"/>
    </row>
    <row r="779" spans="1:21" x14ac:dyDescent="0.25">
      <c r="A779" s="60">
        <f t="shared" si="67"/>
        <v>751</v>
      </c>
      <c r="B779" s="61">
        <f t="shared" si="68"/>
        <v>293</v>
      </c>
      <c r="C779" s="62" t="s">
        <v>60</v>
      </c>
      <c r="D779" s="62" t="s">
        <v>870</v>
      </c>
      <c r="E779" s="63">
        <f t="shared" si="70"/>
        <v>1811123.542842</v>
      </c>
      <c r="F779" s="64"/>
      <c r="G779" s="64">
        <v>1775821.500432</v>
      </c>
      <c r="H779" s="64">
        <v>0</v>
      </c>
      <c r="I779" s="64">
        <v>0</v>
      </c>
      <c r="J779" s="64">
        <v>0</v>
      </c>
      <c r="K779" s="64"/>
      <c r="L779" s="64"/>
      <c r="M779" s="64">
        <v>0</v>
      </c>
      <c r="N779" s="64">
        <v>0</v>
      </c>
      <c r="O779" s="64">
        <v>0</v>
      </c>
      <c r="P779" s="64"/>
      <c r="Q779" s="64">
        <v>0</v>
      </c>
      <c r="R779" s="64"/>
      <c r="S779" s="65"/>
      <c r="T779" s="66">
        <v>35302.042410000002</v>
      </c>
      <c r="U779" s="67"/>
    </row>
    <row r="780" spans="1:21" x14ac:dyDescent="0.25">
      <c r="A780" s="60">
        <f t="shared" si="67"/>
        <v>752</v>
      </c>
      <c r="B780" s="61">
        <f t="shared" si="68"/>
        <v>294</v>
      </c>
      <c r="C780" s="62" t="s">
        <v>60</v>
      </c>
      <c r="D780" s="62" t="s">
        <v>1159</v>
      </c>
      <c r="E780" s="63">
        <f t="shared" si="70"/>
        <v>3577560.5733999996</v>
      </c>
      <c r="F780" s="64">
        <v>1767665.6131679998</v>
      </c>
      <c r="G780" s="64">
        <v>815853.27133800008</v>
      </c>
      <c r="H780" s="64">
        <v>842442.90979800001</v>
      </c>
      <c r="I780" s="64">
        <v>0</v>
      </c>
      <c r="J780" s="64">
        <v>0</v>
      </c>
      <c r="K780" s="64"/>
      <c r="L780" s="64">
        <v>75038.982825239989</v>
      </c>
      <c r="M780" s="64">
        <v>0</v>
      </c>
      <c r="N780" s="64">
        <v>0</v>
      </c>
      <c r="O780" s="64">
        <v>0</v>
      </c>
      <c r="P780" s="64">
        <v>0</v>
      </c>
      <c r="Q780" s="64">
        <v>0</v>
      </c>
      <c r="R780" s="64"/>
      <c r="S780" s="65"/>
      <c r="T780" s="66">
        <v>76559.796270759995</v>
      </c>
      <c r="U780" s="67"/>
    </row>
    <row r="781" spans="1:21" x14ac:dyDescent="0.25">
      <c r="A781" s="60">
        <f t="shared" si="67"/>
        <v>753</v>
      </c>
      <c r="B781" s="61">
        <f t="shared" si="68"/>
        <v>295</v>
      </c>
      <c r="C781" s="62" t="s">
        <v>60</v>
      </c>
      <c r="D781" s="62" t="s">
        <v>867</v>
      </c>
      <c r="E781" s="63">
        <f t="shared" si="70"/>
        <v>7768881.3499999996</v>
      </c>
      <c r="F781" s="64">
        <v>3912372.017862</v>
      </c>
      <c r="G781" s="64">
        <v>1821795.805494</v>
      </c>
      <c r="H781" s="64">
        <v>1868459.465754</v>
      </c>
      <c r="I781" s="64"/>
      <c r="J781" s="64">
        <v>0</v>
      </c>
      <c r="K781" s="64"/>
      <c r="L781" s="64"/>
      <c r="M781" s="64">
        <v>0</v>
      </c>
      <c r="N781" s="64">
        <v>0</v>
      </c>
      <c r="O781" s="64">
        <v>0</v>
      </c>
      <c r="P781" s="64">
        <v>0</v>
      </c>
      <c r="Q781" s="64">
        <v>0</v>
      </c>
      <c r="R781" s="64"/>
      <c r="S781" s="65"/>
      <c r="T781" s="66">
        <v>166254.06088999999</v>
      </c>
      <c r="U781" s="67"/>
    </row>
    <row r="782" spans="1:21" x14ac:dyDescent="0.25">
      <c r="A782" s="60">
        <f t="shared" si="67"/>
        <v>754</v>
      </c>
      <c r="B782" s="61">
        <f t="shared" si="68"/>
        <v>296</v>
      </c>
      <c r="C782" s="62" t="s">
        <v>60</v>
      </c>
      <c r="D782" s="62" t="s">
        <v>868</v>
      </c>
      <c r="E782" s="63">
        <f t="shared" si="70"/>
        <v>10164042.109999999</v>
      </c>
      <c r="F782" s="64">
        <v>6784576.1506739995</v>
      </c>
      <c r="G782" s="64">
        <v>3161955.4581719995</v>
      </c>
      <c r="H782" s="64">
        <v>0</v>
      </c>
      <c r="I782" s="64"/>
      <c r="J782" s="64">
        <v>0</v>
      </c>
      <c r="K782" s="64"/>
      <c r="L782" s="64"/>
      <c r="M782" s="64">
        <v>0</v>
      </c>
      <c r="N782" s="64">
        <v>0</v>
      </c>
      <c r="O782" s="64">
        <v>0</v>
      </c>
      <c r="P782" s="64">
        <v>0</v>
      </c>
      <c r="Q782" s="64">
        <v>0</v>
      </c>
      <c r="R782" s="64"/>
      <c r="S782" s="65"/>
      <c r="T782" s="66">
        <v>217510.50115400003</v>
      </c>
      <c r="U782" s="67"/>
    </row>
    <row r="783" spans="1:21" x14ac:dyDescent="0.25">
      <c r="A783" s="60">
        <f t="shared" si="67"/>
        <v>755</v>
      </c>
      <c r="B783" s="61">
        <f t="shared" si="68"/>
        <v>297</v>
      </c>
      <c r="C783" s="62" t="s">
        <v>136</v>
      </c>
      <c r="D783" s="62" t="s">
        <v>878</v>
      </c>
      <c r="E783" s="88">
        <f t="shared" si="64"/>
        <v>10362960.927733265</v>
      </c>
      <c r="F783" s="64">
        <v>6974205.8600000003</v>
      </c>
      <c r="G783" s="64"/>
      <c r="H783" s="64"/>
      <c r="I783" s="64">
        <v>3042760.85</v>
      </c>
      <c r="J783" s="64">
        <v>0</v>
      </c>
      <c r="K783" s="64"/>
      <c r="L783" s="64">
        <v>189247.51092297008</v>
      </c>
      <c r="M783" s="64"/>
      <c r="N783" s="64"/>
      <c r="O783" s="64"/>
      <c r="P783" s="64"/>
      <c r="Q783" s="64"/>
      <c r="R783" s="64"/>
      <c r="S783" s="65"/>
      <c r="T783" s="66">
        <v>156746.70681029282</v>
      </c>
      <c r="U783" s="67"/>
    </row>
    <row r="784" spans="1:21" x14ac:dyDescent="0.25">
      <c r="A784" s="60">
        <f t="shared" si="67"/>
        <v>756</v>
      </c>
      <c r="B784" s="61">
        <f t="shared" si="68"/>
        <v>298</v>
      </c>
      <c r="C784" s="62" t="s">
        <v>136</v>
      </c>
      <c r="D784" s="62" t="s">
        <v>879</v>
      </c>
      <c r="E784" s="88">
        <f t="shared" si="64"/>
        <v>4333951.7003086358</v>
      </c>
      <c r="F784" s="64"/>
      <c r="G784" s="64"/>
      <c r="H784" s="64"/>
      <c r="I784" s="64">
        <v>3971592.55</v>
      </c>
      <c r="J784" s="64"/>
      <c r="K784" s="64"/>
      <c r="L784" s="64"/>
      <c r="M784" s="64"/>
      <c r="N784" s="64"/>
      <c r="O784" s="64"/>
      <c r="P784" s="64"/>
      <c r="Q784" s="64"/>
      <c r="R784" s="64"/>
      <c r="S784" s="65"/>
      <c r="T784" s="66">
        <v>362359.15030863637</v>
      </c>
      <c r="U784" s="67"/>
    </row>
    <row r="785" spans="1:22" x14ac:dyDescent="0.25">
      <c r="A785" s="60">
        <f t="shared" si="67"/>
        <v>757</v>
      </c>
      <c r="B785" s="61">
        <f t="shared" si="68"/>
        <v>299</v>
      </c>
      <c r="C785" s="62" t="s">
        <v>136</v>
      </c>
      <c r="D785" s="62" t="s">
        <v>881</v>
      </c>
      <c r="E785" s="88">
        <f t="shared" si="64"/>
        <v>5639075.9206179809</v>
      </c>
      <c r="F785" s="64"/>
      <c r="G785" s="64"/>
      <c r="H785" s="64"/>
      <c r="I785" s="64">
        <v>4936837.75</v>
      </c>
      <c r="J785" s="64"/>
      <c r="K785" s="64"/>
      <c r="L785" s="64"/>
      <c r="M785" s="64"/>
      <c r="N785" s="64"/>
      <c r="O785" s="64"/>
      <c r="P785" s="64"/>
      <c r="Q785" s="64"/>
      <c r="R785" s="64"/>
      <c r="S785" s="65"/>
      <c r="T785" s="66">
        <v>702238.17061798053</v>
      </c>
      <c r="U785" s="67"/>
    </row>
    <row r="786" spans="1:22" x14ac:dyDescent="0.25">
      <c r="A786" s="60">
        <f t="shared" si="67"/>
        <v>758</v>
      </c>
      <c r="B786" s="61">
        <f t="shared" si="68"/>
        <v>300</v>
      </c>
      <c r="C786" s="62" t="s">
        <v>136</v>
      </c>
      <c r="D786" s="62" t="s">
        <v>883</v>
      </c>
      <c r="E786" s="88">
        <f t="shared" ref="E786:E804" si="71">SUBTOTAL(9,F786:T786)</f>
        <v>3565785.8615224804</v>
      </c>
      <c r="F786" s="64"/>
      <c r="G786" s="64"/>
      <c r="H786" s="64"/>
      <c r="I786" s="64">
        <v>2879401</v>
      </c>
      <c r="J786" s="64"/>
      <c r="K786" s="64"/>
      <c r="L786" s="64"/>
      <c r="M786" s="64"/>
      <c r="N786" s="64"/>
      <c r="O786" s="64"/>
      <c r="P786" s="64"/>
      <c r="Q786" s="64"/>
      <c r="R786" s="64"/>
      <c r="S786" s="65"/>
      <c r="T786" s="66">
        <v>686384.86152248038</v>
      </c>
      <c r="U786" s="67"/>
    </row>
    <row r="787" spans="1:22" x14ac:dyDescent="0.25">
      <c r="A787" s="60">
        <f t="shared" si="67"/>
        <v>759</v>
      </c>
      <c r="B787" s="61">
        <f t="shared" si="68"/>
        <v>301</v>
      </c>
      <c r="C787" s="62" t="s">
        <v>69</v>
      </c>
      <c r="D787" s="62" t="s">
        <v>875</v>
      </c>
      <c r="E787" s="63">
        <f t="shared" si="71"/>
        <v>3735974.2036668174</v>
      </c>
      <c r="F787" s="64"/>
      <c r="G787" s="64"/>
      <c r="H787" s="64"/>
      <c r="I787" s="64">
        <v>3072620.52</v>
      </c>
      <c r="J787" s="64">
        <v>0</v>
      </c>
      <c r="K787" s="64"/>
      <c r="L787" s="64"/>
      <c r="M787" s="64"/>
      <c r="N787" s="64"/>
      <c r="O787" s="64">
        <v>0</v>
      </c>
      <c r="P787" s="64">
        <v>0</v>
      </c>
      <c r="Q787" s="64">
        <v>0</v>
      </c>
      <c r="R787" s="64"/>
      <c r="S787" s="65"/>
      <c r="T787" s="66">
        <v>663353.68366681749</v>
      </c>
      <c r="U787" s="67"/>
    </row>
    <row r="788" spans="1:22" x14ac:dyDescent="0.25">
      <c r="A788" s="60">
        <f t="shared" si="67"/>
        <v>760</v>
      </c>
      <c r="B788" s="61">
        <f t="shared" si="68"/>
        <v>302</v>
      </c>
      <c r="C788" s="62" t="s">
        <v>61</v>
      </c>
      <c r="D788" s="62" t="s">
        <v>884</v>
      </c>
      <c r="E788" s="88">
        <f t="shared" si="71"/>
        <v>4324812.7126487587</v>
      </c>
      <c r="F788" s="64">
        <v>0</v>
      </c>
      <c r="G788" s="64">
        <v>0</v>
      </c>
      <c r="H788" s="23">
        <v>0</v>
      </c>
      <c r="I788" s="23">
        <v>0</v>
      </c>
      <c r="J788" s="64">
        <v>0</v>
      </c>
      <c r="K788" s="64"/>
      <c r="L788" s="64"/>
      <c r="M788" s="64">
        <v>0</v>
      </c>
      <c r="N788" s="64"/>
      <c r="O788" s="64">
        <v>0</v>
      </c>
      <c r="P788" s="64">
        <v>0</v>
      </c>
      <c r="Q788" s="64">
        <v>4233749.7474075165</v>
      </c>
      <c r="R788" s="64"/>
      <c r="S788" s="65"/>
      <c r="T788" s="66">
        <v>91062.965241242244</v>
      </c>
      <c r="U788" s="67"/>
    </row>
    <row r="789" spans="1:22" x14ac:dyDescent="0.25">
      <c r="A789" s="60">
        <f t="shared" si="67"/>
        <v>761</v>
      </c>
      <c r="B789" s="61">
        <f t="shared" si="68"/>
        <v>303</v>
      </c>
      <c r="C789" s="62" t="s">
        <v>61</v>
      </c>
      <c r="D789" s="62" t="s">
        <v>885</v>
      </c>
      <c r="E789" s="88">
        <f t="shared" si="71"/>
        <v>137017.84966834213</v>
      </c>
      <c r="F789" s="64">
        <v>0</v>
      </c>
      <c r="G789" s="64">
        <v>0</v>
      </c>
      <c r="H789" s="64">
        <v>135258.76977272402</v>
      </c>
      <c r="I789" s="64">
        <v>0</v>
      </c>
      <c r="J789" s="64">
        <v>0</v>
      </c>
      <c r="K789" s="64"/>
      <c r="L789" s="64"/>
      <c r="M789" s="64">
        <v>0</v>
      </c>
      <c r="N789" s="64">
        <v>0</v>
      </c>
      <c r="O789" s="64">
        <v>0</v>
      </c>
      <c r="P789" s="64"/>
      <c r="Q789" s="64">
        <v>0</v>
      </c>
      <c r="R789" s="64"/>
      <c r="S789" s="65"/>
      <c r="T789" s="66">
        <v>1759.079895618122</v>
      </c>
      <c r="U789" s="67"/>
    </row>
    <row r="790" spans="1:22" x14ac:dyDescent="0.25">
      <c r="A790" s="60">
        <f t="shared" si="67"/>
        <v>762</v>
      </c>
      <c r="B790" s="61">
        <f t="shared" si="68"/>
        <v>304</v>
      </c>
      <c r="C790" s="62" t="s">
        <v>61</v>
      </c>
      <c r="D790" s="62" t="s">
        <v>886</v>
      </c>
      <c r="E790" s="88">
        <f t="shared" si="71"/>
        <v>7163356.6237926418</v>
      </c>
      <c r="F790" s="64"/>
      <c r="G790" s="64">
        <v>0</v>
      </c>
      <c r="H790" s="64">
        <v>452723.07120802806</v>
      </c>
      <c r="I790" s="64"/>
      <c r="J790" s="64">
        <v>0</v>
      </c>
      <c r="K790" s="64"/>
      <c r="L790" s="64">
        <v>0</v>
      </c>
      <c r="M790" s="64">
        <v>0</v>
      </c>
      <c r="N790" s="64"/>
      <c r="O790" s="64">
        <v>0</v>
      </c>
      <c r="P790" s="64"/>
      <c r="Q790" s="64">
        <v>6561163.0531278243</v>
      </c>
      <c r="R790" s="64"/>
      <c r="S790" s="65"/>
      <c r="T790" s="66">
        <v>149470.49945678934</v>
      </c>
      <c r="U790" s="67"/>
    </row>
    <row r="791" spans="1:22" x14ac:dyDescent="0.25">
      <c r="A791" s="60">
        <f t="shared" si="67"/>
        <v>763</v>
      </c>
      <c r="B791" s="61">
        <f t="shared" si="68"/>
        <v>305</v>
      </c>
      <c r="C791" s="62" t="s">
        <v>61</v>
      </c>
      <c r="D791" s="62" t="s">
        <v>887</v>
      </c>
      <c r="E791" s="88">
        <f t="shared" si="71"/>
        <v>4259653.0103082992</v>
      </c>
      <c r="F791" s="64"/>
      <c r="G791" s="64">
        <v>0</v>
      </c>
      <c r="H791" s="64">
        <v>0</v>
      </c>
      <c r="I791" s="64">
        <v>904580.55352005619</v>
      </c>
      <c r="J791" s="64">
        <v>0</v>
      </c>
      <c r="K791" s="64"/>
      <c r="L791" s="64">
        <v>0</v>
      </c>
      <c r="M791" s="64">
        <v>0</v>
      </c>
      <c r="N791" s="64"/>
      <c r="O791" s="64">
        <v>0</v>
      </c>
      <c r="P791" s="64"/>
      <c r="Q791" s="64">
        <v>3266743.4001699993</v>
      </c>
      <c r="R791" s="64"/>
      <c r="S791" s="65"/>
      <c r="T791" s="66">
        <v>88329.056618243631</v>
      </c>
      <c r="U791" s="67"/>
    </row>
    <row r="792" spans="1:22" x14ac:dyDescent="0.25">
      <c r="A792" s="60">
        <f t="shared" si="67"/>
        <v>764</v>
      </c>
      <c r="B792" s="61">
        <f t="shared" si="68"/>
        <v>306</v>
      </c>
      <c r="C792" s="62" t="s">
        <v>61</v>
      </c>
      <c r="D792" s="62" t="s">
        <v>888</v>
      </c>
      <c r="E792" s="88">
        <f t="shared" si="71"/>
        <v>2900580.0006778208</v>
      </c>
      <c r="F792" s="64"/>
      <c r="G792" s="64"/>
      <c r="H792" s="64"/>
      <c r="I792" s="64"/>
      <c r="J792" s="64">
        <v>0</v>
      </c>
      <c r="K792" s="64"/>
      <c r="L792" s="64"/>
      <c r="M792" s="64"/>
      <c r="N792" s="64"/>
      <c r="O792" s="64"/>
      <c r="P792" s="64"/>
      <c r="Q792" s="64">
        <v>2842159.2559476825</v>
      </c>
      <c r="R792" s="64"/>
      <c r="S792" s="65"/>
      <c r="T792" s="66">
        <v>58420.744730138162</v>
      </c>
      <c r="U792" s="67"/>
    </row>
    <row r="793" spans="1:22" x14ac:dyDescent="0.25">
      <c r="A793" s="60">
        <f t="shared" si="67"/>
        <v>765</v>
      </c>
      <c r="B793" s="61">
        <f t="shared" si="68"/>
        <v>307</v>
      </c>
      <c r="C793" s="62" t="s">
        <v>70</v>
      </c>
      <c r="D793" s="62" t="s">
        <v>889</v>
      </c>
      <c r="E793" s="88">
        <f t="shared" si="71"/>
        <v>7649896.2214602223</v>
      </c>
      <c r="F793" s="64">
        <v>0</v>
      </c>
      <c r="G793" s="64">
        <v>0</v>
      </c>
      <c r="H793" s="64">
        <v>361131.79129235272</v>
      </c>
      <c r="I793" s="64">
        <v>1398154.9926719584</v>
      </c>
      <c r="J793" s="64">
        <v>0</v>
      </c>
      <c r="K793" s="64"/>
      <c r="L793" s="64">
        <v>0</v>
      </c>
      <c r="M793" s="64"/>
      <c r="N793" s="64"/>
      <c r="O793" s="64">
        <v>0</v>
      </c>
      <c r="P793" s="64">
        <v>0</v>
      </c>
      <c r="Q793" s="64">
        <v>5610416.6446796712</v>
      </c>
      <c r="R793" s="64">
        <v>83285.91</v>
      </c>
      <c r="S793" s="65">
        <v>30861.42</v>
      </c>
      <c r="T793" s="66">
        <v>166045.46281623899</v>
      </c>
      <c r="U793" s="67"/>
      <c r="V793" s="75"/>
    </row>
    <row r="794" spans="1:22" x14ac:dyDescent="0.25">
      <c r="A794" s="60">
        <f t="shared" si="67"/>
        <v>766</v>
      </c>
      <c r="B794" s="61">
        <f t="shared" si="68"/>
        <v>308</v>
      </c>
      <c r="C794" s="62" t="s">
        <v>62</v>
      </c>
      <c r="D794" s="62" t="s">
        <v>892</v>
      </c>
      <c r="E794" s="63">
        <f>SUBTOTAL(9,F794:T794)</f>
        <v>6209439.0055262595</v>
      </c>
      <c r="F794" s="64">
        <v>0</v>
      </c>
      <c r="G794" s="64">
        <v>0</v>
      </c>
      <c r="H794" s="64">
        <v>0</v>
      </c>
      <c r="I794" s="64">
        <v>0</v>
      </c>
      <c r="J794" s="64">
        <v>0</v>
      </c>
      <c r="K794" s="64"/>
      <c r="L794" s="64"/>
      <c r="M794" s="64">
        <v>0</v>
      </c>
      <c r="N794" s="64">
        <v>0</v>
      </c>
      <c r="O794" s="64">
        <v>0</v>
      </c>
      <c r="P794" s="64">
        <v>0</v>
      </c>
      <c r="Q794" s="64">
        <v>6039757.0999999996</v>
      </c>
      <c r="R794" s="64"/>
      <c r="S794" s="65"/>
      <c r="T794" s="66">
        <v>169681.90552626003</v>
      </c>
      <c r="U794" s="67"/>
    </row>
    <row r="795" spans="1:22" x14ac:dyDescent="0.25">
      <c r="A795" s="60">
        <f t="shared" si="67"/>
        <v>767</v>
      </c>
      <c r="B795" s="61">
        <f t="shared" si="68"/>
        <v>309</v>
      </c>
      <c r="C795" s="62" t="s">
        <v>63</v>
      </c>
      <c r="D795" s="62" t="s">
        <v>898</v>
      </c>
      <c r="E795" s="88">
        <f t="shared" si="71"/>
        <v>1513766.7257999999</v>
      </c>
      <c r="F795" s="64">
        <v>0</v>
      </c>
      <c r="G795" s="64">
        <v>0</v>
      </c>
      <c r="H795" s="64">
        <v>0</v>
      </c>
      <c r="I795" s="64">
        <v>0</v>
      </c>
      <c r="J795" s="64">
        <v>1481372.1178678798</v>
      </c>
      <c r="K795" s="64"/>
      <c r="L795" s="64"/>
      <c r="M795" s="64">
        <v>0</v>
      </c>
      <c r="N795" s="64">
        <v>0</v>
      </c>
      <c r="O795" s="64">
        <v>0</v>
      </c>
      <c r="P795" s="64">
        <v>0</v>
      </c>
      <c r="Q795" s="64">
        <v>0</v>
      </c>
      <c r="R795" s="64"/>
      <c r="S795" s="65"/>
      <c r="T795" s="66">
        <v>32394.607932119998</v>
      </c>
      <c r="U795" s="67"/>
    </row>
    <row r="796" spans="1:22" x14ac:dyDescent="0.25">
      <c r="A796" s="60">
        <f t="shared" si="67"/>
        <v>768</v>
      </c>
      <c r="B796" s="61">
        <f t="shared" si="68"/>
        <v>310</v>
      </c>
      <c r="C796" s="62" t="s">
        <v>63</v>
      </c>
      <c r="D796" s="62" t="s">
        <v>899</v>
      </c>
      <c r="E796" s="88">
        <f t="shared" si="71"/>
        <v>543894.30090000003</v>
      </c>
      <c r="F796" s="64">
        <v>0</v>
      </c>
      <c r="G796" s="64">
        <v>0</v>
      </c>
      <c r="H796" s="64">
        <v>0</v>
      </c>
      <c r="I796" s="64">
        <v>0</v>
      </c>
      <c r="J796" s="64">
        <v>532254.96286074002</v>
      </c>
      <c r="K796" s="64"/>
      <c r="L796" s="64"/>
      <c r="M796" s="64">
        <v>0</v>
      </c>
      <c r="N796" s="64">
        <v>0</v>
      </c>
      <c r="O796" s="64">
        <v>0</v>
      </c>
      <c r="P796" s="64">
        <v>0</v>
      </c>
      <c r="Q796" s="64">
        <v>0</v>
      </c>
      <c r="R796" s="64"/>
      <c r="S796" s="65"/>
      <c r="T796" s="66">
        <v>11639.338039260001</v>
      </c>
      <c r="U796" s="67"/>
    </row>
    <row r="797" spans="1:22" x14ac:dyDescent="0.25">
      <c r="A797" s="60">
        <f t="shared" si="67"/>
        <v>769</v>
      </c>
      <c r="B797" s="61">
        <f t="shared" si="68"/>
        <v>311</v>
      </c>
      <c r="C797" s="62" t="s">
        <v>63</v>
      </c>
      <c r="D797" s="62" t="s">
        <v>1160</v>
      </c>
      <c r="E797" s="88">
        <f t="shared" si="71"/>
        <v>536732.4389999999</v>
      </c>
      <c r="F797" s="64">
        <v>0</v>
      </c>
      <c r="G797" s="64">
        <v>0</v>
      </c>
      <c r="H797" s="64">
        <v>0</v>
      </c>
      <c r="I797" s="64">
        <v>0</v>
      </c>
      <c r="J797" s="64">
        <v>525246.36480539991</v>
      </c>
      <c r="K797" s="64"/>
      <c r="L797" s="64"/>
      <c r="M797" s="64">
        <v>0</v>
      </c>
      <c r="N797" s="64">
        <v>0</v>
      </c>
      <c r="O797" s="64">
        <v>0</v>
      </c>
      <c r="P797" s="64">
        <v>0</v>
      </c>
      <c r="Q797" s="64">
        <v>0</v>
      </c>
      <c r="R797" s="64"/>
      <c r="S797" s="65"/>
      <c r="T797" s="66">
        <v>11486.074194599998</v>
      </c>
      <c r="U797" s="67"/>
    </row>
    <row r="798" spans="1:22" x14ac:dyDescent="0.25">
      <c r="A798" s="60">
        <f t="shared" si="67"/>
        <v>770</v>
      </c>
      <c r="B798" s="61">
        <f t="shared" si="68"/>
        <v>312</v>
      </c>
      <c r="C798" s="62" t="s">
        <v>63</v>
      </c>
      <c r="D798" s="62" t="s">
        <v>900</v>
      </c>
      <c r="E798" s="88">
        <f t="shared" si="71"/>
        <v>367776.86744473106</v>
      </c>
      <c r="F798" s="64"/>
      <c r="G798" s="64">
        <v>0</v>
      </c>
      <c r="H798" s="64">
        <v>0</v>
      </c>
      <c r="I798" s="64">
        <v>0</v>
      </c>
      <c r="J798" s="64">
        <v>359906.44733063993</v>
      </c>
      <c r="K798" s="64"/>
      <c r="L798" s="64"/>
      <c r="M798" s="64">
        <v>0</v>
      </c>
      <c r="N798" s="64">
        <v>0</v>
      </c>
      <c r="O798" s="64">
        <v>0</v>
      </c>
      <c r="P798" s="64">
        <v>0</v>
      </c>
      <c r="Q798" s="64">
        <v>0</v>
      </c>
      <c r="R798" s="64"/>
      <c r="S798" s="65"/>
      <c r="T798" s="66">
        <v>7870.4201140911273</v>
      </c>
      <c r="U798" s="67"/>
    </row>
    <row r="799" spans="1:22" x14ac:dyDescent="0.25">
      <c r="A799" s="60">
        <f t="shared" si="67"/>
        <v>771</v>
      </c>
      <c r="B799" s="61">
        <f t="shared" si="68"/>
        <v>313</v>
      </c>
      <c r="C799" s="62" t="s">
        <v>63</v>
      </c>
      <c r="D799" s="62" t="s">
        <v>895</v>
      </c>
      <c r="E799" s="63">
        <f>SUBTOTAL(9,F799:T799)</f>
        <v>4028819.6753626801</v>
      </c>
      <c r="F799" s="64"/>
      <c r="G799" s="64">
        <v>0</v>
      </c>
      <c r="H799" s="64">
        <v>0</v>
      </c>
      <c r="I799" s="64">
        <v>0</v>
      </c>
      <c r="J799" s="64"/>
      <c r="K799" s="64"/>
      <c r="L799" s="64"/>
      <c r="M799" s="64">
        <v>0</v>
      </c>
      <c r="N799" s="64">
        <v>0</v>
      </c>
      <c r="O799" s="64">
        <v>0</v>
      </c>
      <c r="P799" s="64">
        <v>0</v>
      </c>
      <c r="Q799" s="64">
        <v>3738308.16</v>
      </c>
      <c r="R799" s="64"/>
      <c r="S799" s="65"/>
      <c r="T799" s="66">
        <v>290511.51536268002</v>
      </c>
      <c r="U799" s="67"/>
    </row>
    <row r="800" spans="1:22" x14ac:dyDescent="0.25">
      <c r="A800" s="60">
        <f t="shared" si="67"/>
        <v>772</v>
      </c>
      <c r="B800" s="61">
        <f t="shared" si="68"/>
        <v>314</v>
      </c>
      <c r="C800" s="62" t="s">
        <v>63</v>
      </c>
      <c r="D800" s="62" t="s">
        <v>901</v>
      </c>
      <c r="E800" s="88">
        <f t="shared" si="71"/>
        <v>2143162.1283</v>
      </c>
      <c r="F800" s="64">
        <v>0</v>
      </c>
      <c r="G800" s="64">
        <v>0</v>
      </c>
      <c r="H800" s="64">
        <v>0</v>
      </c>
      <c r="I800" s="64">
        <v>0</v>
      </c>
      <c r="J800" s="64">
        <v>2097298.4587543798</v>
      </c>
      <c r="K800" s="64"/>
      <c r="L800" s="64"/>
      <c r="M800" s="64">
        <v>0</v>
      </c>
      <c r="N800" s="64">
        <v>0</v>
      </c>
      <c r="O800" s="64">
        <v>0</v>
      </c>
      <c r="P800" s="64">
        <v>0</v>
      </c>
      <c r="Q800" s="64">
        <v>0</v>
      </c>
      <c r="R800" s="64"/>
      <c r="S800" s="65"/>
      <c r="T800" s="66">
        <v>45863.669545620003</v>
      </c>
      <c r="U800" s="67"/>
    </row>
    <row r="801" spans="1:21" x14ac:dyDescent="0.25">
      <c r="A801" s="60">
        <f t="shared" si="67"/>
        <v>773</v>
      </c>
      <c r="B801" s="61">
        <f t="shared" si="68"/>
        <v>315</v>
      </c>
      <c r="C801" s="62" t="s">
        <v>63</v>
      </c>
      <c r="D801" s="62" t="s">
        <v>902</v>
      </c>
      <c r="E801" s="88">
        <f t="shared" si="71"/>
        <v>1668917.8005000001</v>
      </c>
      <c r="F801" s="64">
        <v>0</v>
      </c>
      <c r="G801" s="64">
        <v>0</v>
      </c>
      <c r="H801" s="64">
        <v>0</v>
      </c>
      <c r="I801" s="64">
        <v>0</v>
      </c>
      <c r="J801" s="64">
        <v>1633202.9595693001</v>
      </c>
      <c r="K801" s="64"/>
      <c r="L801" s="64"/>
      <c r="M801" s="64">
        <v>0</v>
      </c>
      <c r="N801" s="64">
        <v>0</v>
      </c>
      <c r="O801" s="64">
        <v>0</v>
      </c>
      <c r="P801" s="64">
        <v>0</v>
      </c>
      <c r="Q801" s="64">
        <v>0</v>
      </c>
      <c r="R801" s="64"/>
      <c r="S801" s="65"/>
      <c r="T801" s="66">
        <v>35714.840930700004</v>
      </c>
      <c r="U801" s="67"/>
    </row>
    <row r="802" spans="1:21" x14ac:dyDescent="0.25">
      <c r="A802" s="60">
        <f t="shared" si="67"/>
        <v>774</v>
      </c>
      <c r="B802" s="61">
        <f t="shared" si="68"/>
        <v>316</v>
      </c>
      <c r="C802" s="62" t="s">
        <v>63</v>
      </c>
      <c r="D802" s="62" t="s">
        <v>903</v>
      </c>
      <c r="E802" s="88">
        <f t="shared" si="71"/>
        <v>1090164.3753000002</v>
      </c>
      <c r="F802" s="64">
        <v>0</v>
      </c>
      <c r="G802" s="64">
        <v>0</v>
      </c>
      <c r="H802" s="64">
        <v>0</v>
      </c>
      <c r="I802" s="64">
        <v>0</v>
      </c>
      <c r="J802" s="64">
        <v>1066834.8576685803</v>
      </c>
      <c r="K802" s="64"/>
      <c r="L802" s="64"/>
      <c r="M802" s="64">
        <v>0</v>
      </c>
      <c r="N802" s="64">
        <v>0</v>
      </c>
      <c r="O802" s="64">
        <v>0</v>
      </c>
      <c r="P802" s="64">
        <v>0</v>
      </c>
      <c r="Q802" s="64">
        <v>0</v>
      </c>
      <c r="R802" s="64"/>
      <c r="S802" s="65"/>
      <c r="T802" s="66">
        <v>23329.517631420003</v>
      </c>
      <c r="U802" s="67"/>
    </row>
    <row r="803" spans="1:21" x14ac:dyDescent="0.25">
      <c r="A803" s="60">
        <f t="shared" si="67"/>
        <v>775</v>
      </c>
      <c r="B803" s="61">
        <f t="shared" si="68"/>
        <v>317</v>
      </c>
      <c r="C803" s="62" t="s">
        <v>63</v>
      </c>
      <c r="D803" s="62" t="s">
        <v>904</v>
      </c>
      <c r="E803" s="88">
        <f t="shared" si="71"/>
        <v>1458644.1368999998</v>
      </c>
      <c r="F803" s="64">
        <v>0</v>
      </c>
      <c r="G803" s="64">
        <v>0</v>
      </c>
      <c r="H803" s="64">
        <v>0</v>
      </c>
      <c r="I803" s="64">
        <v>0</v>
      </c>
      <c r="J803" s="64">
        <v>1427429.1523703397</v>
      </c>
      <c r="K803" s="64"/>
      <c r="L803" s="64"/>
      <c r="M803" s="64">
        <v>0</v>
      </c>
      <c r="N803" s="64">
        <v>0</v>
      </c>
      <c r="O803" s="64">
        <v>0</v>
      </c>
      <c r="P803" s="64">
        <v>0</v>
      </c>
      <c r="Q803" s="64">
        <v>0</v>
      </c>
      <c r="R803" s="64"/>
      <c r="S803" s="65"/>
      <c r="T803" s="66">
        <v>31214.98452966</v>
      </c>
      <c r="U803" s="67"/>
    </row>
    <row r="804" spans="1:21" x14ac:dyDescent="0.25">
      <c r="A804" s="60">
        <f t="shared" si="67"/>
        <v>776</v>
      </c>
      <c r="B804" s="61">
        <f t="shared" si="68"/>
        <v>318</v>
      </c>
      <c r="C804" s="62" t="s">
        <v>74</v>
      </c>
      <c r="D804" s="62" t="s">
        <v>913</v>
      </c>
      <c r="E804" s="88">
        <f t="shared" si="71"/>
        <v>9356568.3149909116</v>
      </c>
      <c r="F804" s="64">
        <v>1499120.1748707045</v>
      </c>
      <c r="G804" s="64"/>
      <c r="H804" s="64">
        <v>430222.50116461777</v>
      </c>
      <c r="I804" s="64">
        <v>0</v>
      </c>
      <c r="J804" s="64">
        <v>0</v>
      </c>
      <c r="K804" s="64"/>
      <c r="L804" s="64">
        <v>142891.97269354918</v>
      </c>
      <c r="M804" s="64">
        <v>0</v>
      </c>
      <c r="N804" s="64"/>
      <c r="O804" s="64">
        <v>0</v>
      </c>
      <c r="P804" s="64">
        <v>3599331.7433198267</v>
      </c>
      <c r="Q804" s="64">
        <v>3186013.8208737094</v>
      </c>
      <c r="R804" s="64">
        <v>241340.1</v>
      </c>
      <c r="S804" s="64">
        <v>66210.3</v>
      </c>
      <c r="T804" s="66">
        <v>191437.70206850392</v>
      </c>
      <c r="U804" s="67"/>
    </row>
    <row r="809" spans="1:21" x14ac:dyDescent="0.25">
      <c r="E809" s="10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25"/>
    </row>
    <row r="810" spans="1:21" x14ac:dyDescent="0.25">
      <c r="E810" s="10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</row>
    <row r="811" spans="1:21" x14ac:dyDescent="0.25">
      <c r="E811" s="10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</row>
    <row r="812" spans="1:21" x14ac:dyDescent="0.25">
      <c r="E812" s="25"/>
    </row>
    <row r="858" spans="7:7" x14ac:dyDescent="0.25">
      <c r="G858" s="23" t="s">
        <v>90</v>
      </c>
    </row>
  </sheetData>
  <autoFilter ref="A21:BR803"/>
  <mergeCells count="17">
    <mergeCell ref="A15:T15"/>
    <mergeCell ref="D18:D21"/>
    <mergeCell ref="S19:S20"/>
    <mergeCell ref="T19:T20"/>
    <mergeCell ref="A6:T6"/>
    <mergeCell ref="M19:M20"/>
    <mergeCell ref="N19:N20"/>
    <mergeCell ref="O19:O20"/>
    <mergeCell ref="P19:P20"/>
    <mergeCell ref="Q19:Q20"/>
    <mergeCell ref="R19:R20"/>
    <mergeCell ref="E18:E20"/>
    <mergeCell ref="F18:T18"/>
    <mergeCell ref="F19:L19"/>
    <mergeCell ref="A18:A21"/>
    <mergeCell ref="B18:B21"/>
    <mergeCell ref="C18:C21"/>
  </mergeCells>
  <conditionalFormatting sqref="D526">
    <cfRule type="duplicateValues" dxfId="118" priority="109"/>
  </conditionalFormatting>
  <conditionalFormatting sqref="D277">
    <cfRule type="duplicateValues" dxfId="117" priority="108"/>
  </conditionalFormatting>
  <conditionalFormatting sqref="D636">
    <cfRule type="duplicateValues" dxfId="116" priority="107"/>
  </conditionalFormatting>
  <conditionalFormatting sqref="D729 D731:D732 D734:D738">
    <cfRule type="duplicateValues" dxfId="115" priority="8497"/>
  </conditionalFormatting>
  <conditionalFormatting sqref="D740:D743 D746:D748">
    <cfRule type="duplicateValues" dxfId="114" priority="105"/>
  </conditionalFormatting>
  <conditionalFormatting sqref="D750">
    <cfRule type="duplicateValues" dxfId="113" priority="104"/>
  </conditionalFormatting>
  <conditionalFormatting sqref="D804">
    <cfRule type="duplicateValues" dxfId="112" priority="8516"/>
  </conditionalFormatting>
  <conditionalFormatting sqref="D761:D762">
    <cfRule type="duplicateValues" dxfId="111" priority="8539"/>
  </conditionalFormatting>
  <conditionalFormatting sqref="D63">
    <cfRule type="duplicateValues" dxfId="110" priority="91"/>
  </conditionalFormatting>
  <conditionalFormatting sqref="D790">
    <cfRule type="duplicateValues" dxfId="109" priority="90"/>
  </conditionalFormatting>
  <conditionalFormatting sqref="D791">
    <cfRule type="duplicateValues" dxfId="108" priority="89"/>
  </conditionalFormatting>
  <conditionalFormatting sqref="D788">
    <cfRule type="duplicateValues" dxfId="107" priority="88"/>
  </conditionalFormatting>
  <conditionalFormatting sqref="D225">
    <cfRule type="duplicateValues" dxfId="106" priority="86"/>
  </conditionalFormatting>
  <conditionalFormatting sqref="D520">
    <cfRule type="duplicateValues" dxfId="105" priority="85"/>
  </conditionalFormatting>
  <conditionalFormatting sqref="D263">
    <cfRule type="duplicateValues" dxfId="104" priority="83"/>
  </conditionalFormatting>
  <conditionalFormatting sqref="D275">
    <cfRule type="duplicateValues" dxfId="103" priority="82"/>
  </conditionalFormatting>
  <conditionalFormatting sqref="D75">
    <cfRule type="duplicateValues" dxfId="102" priority="81"/>
  </conditionalFormatting>
  <conditionalFormatting sqref="D115">
    <cfRule type="duplicateValues" dxfId="101" priority="80"/>
  </conditionalFormatting>
  <conditionalFormatting sqref="D354">
    <cfRule type="duplicateValues" dxfId="100" priority="79"/>
  </conditionalFormatting>
  <conditionalFormatting sqref="D145">
    <cfRule type="duplicateValues" dxfId="99" priority="78"/>
  </conditionalFormatting>
  <conditionalFormatting sqref="D147">
    <cfRule type="duplicateValues" dxfId="98" priority="77"/>
  </conditionalFormatting>
  <conditionalFormatting sqref="D770">
    <cfRule type="duplicateValues" dxfId="97" priority="73"/>
  </conditionalFormatting>
  <conditionalFormatting sqref="D776:D777">
    <cfRule type="duplicateValues" dxfId="96" priority="72"/>
  </conditionalFormatting>
  <conditionalFormatting sqref="D794">
    <cfRule type="duplicateValues" dxfId="95" priority="71"/>
  </conditionalFormatting>
  <conditionalFormatting sqref="D477:D479">
    <cfRule type="duplicateValues" dxfId="94" priority="70"/>
  </conditionalFormatting>
  <conditionalFormatting sqref="D799 D480">
    <cfRule type="duplicateValues" dxfId="93" priority="68"/>
  </conditionalFormatting>
  <conditionalFormatting sqref="D218">
    <cfRule type="duplicateValues" dxfId="92" priority="67"/>
  </conditionalFormatting>
  <conditionalFormatting sqref="D234">
    <cfRule type="duplicateValues" dxfId="91" priority="66"/>
  </conditionalFormatting>
  <conditionalFormatting sqref="D533">
    <cfRule type="duplicateValues" dxfId="90" priority="65"/>
  </conditionalFormatting>
  <conditionalFormatting sqref="D535">
    <cfRule type="duplicateValues" dxfId="89" priority="64"/>
  </conditionalFormatting>
  <conditionalFormatting sqref="D282">
    <cfRule type="duplicateValues" dxfId="88" priority="61"/>
  </conditionalFormatting>
  <conditionalFormatting sqref="D284">
    <cfRule type="duplicateValues" dxfId="87" priority="60"/>
  </conditionalFormatting>
  <conditionalFormatting sqref="D306">
    <cfRule type="duplicateValues" dxfId="86" priority="59"/>
  </conditionalFormatting>
  <conditionalFormatting sqref="D326">
    <cfRule type="duplicateValues" dxfId="85" priority="58"/>
  </conditionalFormatting>
  <conditionalFormatting sqref="D632">
    <cfRule type="duplicateValues" dxfId="84" priority="57"/>
  </conditionalFormatting>
  <conditionalFormatting sqref="D361">
    <cfRule type="duplicateValues" dxfId="83" priority="55"/>
  </conditionalFormatting>
  <conditionalFormatting sqref="D373">
    <cfRule type="duplicateValues" dxfId="82" priority="53"/>
  </conditionalFormatting>
  <conditionalFormatting sqref="D415:D416">
    <cfRule type="duplicateValues" dxfId="81" priority="52"/>
  </conditionalFormatting>
  <conditionalFormatting sqref="D447">
    <cfRule type="duplicateValues" dxfId="80" priority="48"/>
  </conditionalFormatting>
  <conditionalFormatting sqref="D482">
    <cfRule type="duplicateValues" dxfId="79" priority="47"/>
  </conditionalFormatting>
  <conditionalFormatting sqref="D280">
    <cfRule type="duplicateValues" dxfId="78" priority="44"/>
  </conditionalFormatting>
  <conditionalFormatting sqref="D310">
    <cfRule type="duplicateValues" dxfId="77" priority="43"/>
  </conditionalFormatting>
  <conditionalFormatting sqref="D319">
    <cfRule type="duplicateValues" dxfId="76" priority="42"/>
  </conditionalFormatting>
  <conditionalFormatting sqref="D331">
    <cfRule type="duplicateValues" dxfId="75" priority="40"/>
  </conditionalFormatting>
  <conditionalFormatting sqref="D346">
    <cfRule type="duplicateValues" dxfId="74" priority="39"/>
  </conditionalFormatting>
  <conditionalFormatting sqref="D369">
    <cfRule type="duplicateValues" dxfId="73" priority="38"/>
  </conditionalFormatting>
  <conditionalFormatting sqref="D483:D484">
    <cfRule type="duplicateValues" dxfId="72" priority="36"/>
  </conditionalFormatting>
  <conditionalFormatting sqref="D402">
    <cfRule type="duplicateValues" dxfId="71" priority="35"/>
  </conditionalFormatting>
  <conditionalFormatting sqref="D184">
    <cfRule type="duplicateValues" dxfId="70" priority="34"/>
  </conditionalFormatting>
  <conditionalFormatting sqref="D58">
    <cfRule type="duplicateValues" dxfId="69" priority="33"/>
  </conditionalFormatting>
  <conditionalFormatting sqref="D276">
    <cfRule type="duplicateValues" dxfId="68" priority="32"/>
  </conditionalFormatting>
  <conditionalFormatting sqref="D419">
    <cfRule type="duplicateValues" dxfId="67" priority="31"/>
  </conditionalFormatting>
  <conditionalFormatting sqref="D648">
    <cfRule type="duplicateValues" dxfId="66" priority="30"/>
  </conditionalFormatting>
  <conditionalFormatting sqref="D506">
    <cfRule type="duplicateValues" dxfId="65" priority="29"/>
  </conditionalFormatting>
  <conditionalFormatting sqref="D257">
    <cfRule type="duplicateValues" dxfId="64" priority="27"/>
  </conditionalFormatting>
  <conditionalFormatting sqref="D235">
    <cfRule type="duplicateValues" dxfId="63" priority="26"/>
  </conditionalFormatting>
  <conditionalFormatting sqref="D260">
    <cfRule type="duplicateValues" dxfId="62" priority="25"/>
  </conditionalFormatting>
  <conditionalFormatting sqref="D244">
    <cfRule type="duplicateValues" dxfId="61" priority="24"/>
  </conditionalFormatting>
  <conditionalFormatting sqref="D279">
    <cfRule type="duplicateValues" dxfId="60" priority="23"/>
  </conditionalFormatting>
  <conditionalFormatting sqref="D283">
    <cfRule type="duplicateValues" dxfId="59" priority="22"/>
  </conditionalFormatting>
  <conditionalFormatting sqref="D324">
    <cfRule type="duplicateValues" dxfId="58" priority="21"/>
  </conditionalFormatting>
  <conditionalFormatting sqref="D375:D376">
    <cfRule type="duplicateValues" dxfId="57" priority="20"/>
  </conditionalFormatting>
  <conditionalFormatting sqref="D374">
    <cfRule type="duplicateValues" dxfId="56" priority="19"/>
  </conditionalFormatting>
  <conditionalFormatting sqref="D481">
    <cfRule type="duplicateValues" dxfId="55" priority="18"/>
  </conditionalFormatting>
  <conditionalFormatting sqref="D406 D179 D141:D144 D65:D66 D27:D34 D37:D57 D236 D68 D70:D74 D86 D89:D103 D105 D119 D126:D130 D154:D162 D189:D200 D202:D211 D132:D135 D62 D249 D107:D114 D164:D171 D185 D76:D77 D173:D176 D59:D60 D146 D137:D138 D79:D83 D116:D117 D122:D123 D148 D181">
    <cfRule type="duplicateValues" dxfId="54" priority="9562"/>
  </conditionalFormatting>
  <conditionalFormatting sqref="D605">
    <cfRule type="duplicateValues" dxfId="53" priority="17"/>
  </conditionalFormatting>
  <conditionalFormatting sqref="D428 D430 D432">
    <cfRule type="duplicateValues" dxfId="52" priority="9648"/>
  </conditionalFormatting>
  <conditionalFormatting sqref="D238">
    <cfRule type="duplicateValues" dxfId="51" priority="16"/>
  </conditionalFormatting>
  <conditionalFormatting sqref="D364">
    <cfRule type="duplicateValues" dxfId="50" priority="15"/>
  </conditionalFormatting>
  <conditionalFormatting sqref="D224">
    <cfRule type="duplicateValues" dxfId="49" priority="14"/>
  </conditionalFormatting>
  <conditionalFormatting sqref="D274">
    <cfRule type="duplicateValues" dxfId="48" priority="13"/>
  </conditionalFormatting>
  <conditionalFormatting sqref="D333">
    <cfRule type="duplicateValues" dxfId="47" priority="12"/>
  </conditionalFormatting>
  <conditionalFormatting sqref="D359">
    <cfRule type="duplicateValues" dxfId="46" priority="11"/>
  </conditionalFormatting>
  <conditionalFormatting sqref="D431">
    <cfRule type="duplicateValues" dxfId="45" priority="9"/>
  </conditionalFormatting>
  <conditionalFormatting sqref="D436">
    <cfRule type="duplicateValues" dxfId="44" priority="8"/>
  </conditionalFormatting>
  <conditionalFormatting sqref="D757 D485 D475:D476 D233 D222 D581 D642 D613 D588 D575 D498:D499 D739 D727 D421 D418 D583 D585 D760 D717:D720">
    <cfRule type="duplicateValues" dxfId="43" priority="9726"/>
  </conditionalFormatting>
  <conditionalFormatting sqref="D490">
    <cfRule type="duplicateValues" dxfId="42" priority="7"/>
  </conditionalFormatting>
  <conditionalFormatting sqref="D589">
    <cfRule type="duplicateValues" dxfId="41" priority="6"/>
  </conditionalFormatting>
  <conditionalFormatting sqref="D591">
    <cfRule type="duplicateValues" dxfId="40" priority="5"/>
  </conditionalFormatting>
  <conditionalFormatting sqref="D663">
    <cfRule type="duplicateValues" dxfId="39" priority="4"/>
  </conditionalFormatting>
  <conditionalFormatting sqref="D701 D414">
    <cfRule type="duplicateValues" dxfId="38" priority="9767"/>
  </conditionalFormatting>
  <conditionalFormatting sqref="D427">
    <cfRule type="duplicateValues" dxfId="37" priority="9780"/>
  </conditionalFormatting>
  <conditionalFormatting sqref="D710">
    <cfRule type="duplicateValues" dxfId="36" priority="1"/>
  </conditionalFormatting>
  <pageMargins left="0.39370078740157483" right="0.39370078740157483" top="0.39370078740157483" bottom="0.39370078740157483" header="0.31496062992125984" footer="0.31496062992125984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29"/>
  <sheetViews>
    <sheetView view="pageBreakPreview" topLeftCell="A6" zoomScale="93" zoomScaleNormal="71" zoomScaleSheetLayoutView="93" workbookViewId="0">
      <pane xSplit="4" ySplit="12" topLeftCell="Q18" activePane="bottomRight" state="frozen"/>
      <selection activeCell="A6" sqref="A6"/>
      <selection pane="topRight" activeCell="E6" sqref="E6"/>
      <selection pane="bottomLeft" activeCell="A13" sqref="A13"/>
      <selection pane="bottomRight" activeCell="W9" sqref="W9"/>
    </sheetView>
  </sheetViews>
  <sheetFormatPr defaultRowHeight="12.75" x14ac:dyDescent="0.25"/>
  <cols>
    <col min="1" max="1" width="9.140625" style="153"/>
    <col min="2" max="2" width="6.7109375" style="153" customWidth="1"/>
    <col min="3" max="3" width="35.7109375" style="153" customWidth="1"/>
    <col min="4" max="4" width="68.28515625" style="153" customWidth="1"/>
    <col min="5" max="6" width="16.7109375" style="153" customWidth="1"/>
    <col min="7" max="7" width="27.5703125" style="153" bestFit="1" customWidth="1"/>
    <col min="8" max="8" width="16.7109375" style="153" customWidth="1"/>
    <col min="9" max="9" width="12.5703125" style="153" customWidth="1"/>
    <col min="10" max="13" width="16.7109375" style="153" customWidth="1"/>
    <col min="14" max="14" width="19.140625" style="153" customWidth="1"/>
    <col min="15" max="15" width="16.7109375" style="153" customWidth="1"/>
    <col min="16" max="16" width="19" style="153" customWidth="1"/>
    <col min="17" max="18" width="16.7109375" style="153" customWidth="1"/>
    <col min="19" max="19" width="18.140625" style="153" customWidth="1"/>
    <col min="20" max="23" width="16.7109375" style="153" customWidth="1"/>
    <col min="24" max="24" width="14" style="153" hidden="1" customWidth="1"/>
    <col min="25" max="27" width="9.140625" style="153" hidden="1" customWidth="1"/>
    <col min="28" max="28" width="14.42578125" style="153" hidden="1" customWidth="1"/>
    <col min="29" max="29" width="15.5703125" style="153" customWidth="1"/>
    <col min="30" max="30" width="0" style="153" hidden="1" customWidth="1"/>
    <col min="31" max="31" width="14.28515625" style="153" hidden="1" customWidth="1"/>
    <col min="32" max="32" width="0" style="153" hidden="1" customWidth="1"/>
    <col min="33" max="33" width="74.28515625" style="153" hidden="1" customWidth="1"/>
    <col min="34" max="34" width="13.28515625" style="153" hidden="1" customWidth="1"/>
    <col min="35" max="46" width="0" style="153" hidden="1" customWidth="1"/>
    <col min="47" max="48" width="13.140625" style="153" hidden="1" customWidth="1"/>
    <col min="49" max="51" width="0" style="153" hidden="1" customWidth="1"/>
    <col min="52" max="52" width="15.5703125" style="153" customWidth="1"/>
    <col min="53" max="16384" width="9.140625" style="153"/>
  </cols>
  <sheetData>
    <row r="1" spans="1:26" ht="15" customHeight="1" x14ac:dyDescent="0.25">
      <c r="A1" s="71"/>
      <c r="B1" s="71"/>
      <c r="C1" s="148"/>
      <c r="D1" s="148"/>
      <c r="E1" s="148"/>
      <c r="F1" s="148"/>
      <c r="G1" s="148"/>
      <c r="H1" s="149"/>
      <c r="I1" s="149"/>
      <c r="J1" s="149"/>
      <c r="K1" s="150"/>
      <c r="L1" s="91"/>
      <c r="M1" s="149"/>
      <c r="N1" s="149"/>
      <c r="O1" s="149"/>
      <c r="P1" s="151"/>
      <c r="Q1" s="151"/>
      <c r="R1" s="151"/>
      <c r="S1" s="152"/>
      <c r="U1" s="8"/>
      <c r="V1" s="8"/>
      <c r="W1" s="154" t="s">
        <v>527</v>
      </c>
    </row>
    <row r="2" spans="1:26" ht="15.7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2"/>
      <c r="Q2" s="152"/>
      <c r="R2" s="152"/>
      <c r="S2" s="152"/>
      <c r="U2" s="8"/>
      <c r="V2" s="8"/>
      <c r="W2" s="154" t="s">
        <v>588</v>
      </c>
    </row>
    <row r="3" spans="1:26" ht="15.75" x14ac:dyDescent="0.25">
      <c r="U3" s="8"/>
      <c r="V3" s="8"/>
      <c r="W3" s="154" t="s">
        <v>969</v>
      </c>
    </row>
    <row r="5" spans="1:26" ht="15.75" x14ac:dyDescent="0.25">
      <c r="B5" s="208" t="s">
        <v>141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</row>
    <row r="6" spans="1:26" ht="15.75" x14ac:dyDescent="0.25">
      <c r="U6" s="178"/>
      <c r="V6" s="178"/>
      <c r="W6" s="154" t="s">
        <v>526</v>
      </c>
    </row>
    <row r="7" spans="1:26" ht="15.75" x14ac:dyDescent="0.25">
      <c r="U7" s="178"/>
      <c r="V7" s="178"/>
      <c r="W7" s="154" t="s">
        <v>588</v>
      </c>
    </row>
    <row r="8" spans="1:26" ht="15.75" x14ac:dyDescent="0.25">
      <c r="U8" s="178"/>
      <c r="V8" s="178"/>
      <c r="W8" s="154" t="s">
        <v>1191</v>
      </c>
    </row>
    <row r="9" spans="1:26" ht="15.75" x14ac:dyDescent="0.25">
      <c r="U9" s="178"/>
      <c r="V9" s="178"/>
      <c r="W9" s="154"/>
    </row>
    <row r="10" spans="1:26" ht="20.25" x14ac:dyDescent="0.25">
      <c r="A10" s="215" t="s">
        <v>141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2" spans="1:26" x14ac:dyDescent="0.25">
      <c r="A12" s="209" t="s">
        <v>1</v>
      </c>
      <c r="B12" s="209" t="s">
        <v>1</v>
      </c>
      <c r="C12" s="209" t="s">
        <v>2</v>
      </c>
      <c r="D12" s="209" t="s">
        <v>3</v>
      </c>
      <c r="E12" s="209" t="s">
        <v>4</v>
      </c>
      <c r="F12" s="209"/>
      <c r="G12" s="209" t="s">
        <v>5</v>
      </c>
      <c r="H12" s="209" t="s">
        <v>6</v>
      </c>
      <c r="I12" s="209" t="s">
        <v>7</v>
      </c>
      <c r="J12" s="209" t="s">
        <v>8</v>
      </c>
      <c r="K12" s="209" t="s">
        <v>9</v>
      </c>
      <c r="L12" s="209"/>
      <c r="M12" s="209" t="s">
        <v>10</v>
      </c>
      <c r="N12" s="209" t="s">
        <v>11</v>
      </c>
      <c r="O12" s="209"/>
      <c r="P12" s="209"/>
      <c r="Q12" s="209"/>
      <c r="R12" s="209"/>
      <c r="S12" s="209"/>
      <c r="T12" s="209"/>
      <c r="U12" s="209" t="s">
        <v>12</v>
      </c>
      <c r="V12" s="209" t="s">
        <v>13</v>
      </c>
      <c r="W12" s="209" t="s">
        <v>14</v>
      </c>
    </row>
    <row r="13" spans="1:26" x14ac:dyDescent="0.25">
      <c r="A13" s="209"/>
      <c r="B13" s="209"/>
      <c r="C13" s="209"/>
      <c r="D13" s="209"/>
      <c r="E13" s="209" t="s">
        <v>16</v>
      </c>
      <c r="F13" s="209" t="s">
        <v>17</v>
      </c>
      <c r="G13" s="209"/>
      <c r="H13" s="209"/>
      <c r="I13" s="209"/>
      <c r="J13" s="209"/>
      <c r="K13" s="209" t="s">
        <v>18</v>
      </c>
      <c r="L13" s="209" t="s">
        <v>19</v>
      </c>
      <c r="M13" s="209"/>
      <c r="N13" s="209" t="s">
        <v>20</v>
      </c>
      <c r="O13" s="209" t="s">
        <v>21</v>
      </c>
      <c r="P13" s="209"/>
      <c r="Q13" s="209"/>
      <c r="R13" s="209"/>
      <c r="S13" s="209"/>
      <c r="T13" s="209"/>
      <c r="U13" s="209"/>
      <c r="V13" s="209"/>
      <c r="W13" s="209"/>
    </row>
    <row r="14" spans="1:26" ht="51" x14ac:dyDescent="0.25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46" t="s">
        <v>28</v>
      </c>
      <c r="P14" s="46" t="s">
        <v>29</v>
      </c>
      <c r="Q14" s="46" t="s">
        <v>30</v>
      </c>
      <c r="R14" s="46" t="s">
        <v>31</v>
      </c>
      <c r="S14" s="46" t="s">
        <v>32</v>
      </c>
      <c r="T14" s="46" t="s">
        <v>145</v>
      </c>
      <c r="U14" s="209"/>
      <c r="V14" s="209"/>
      <c r="W14" s="209"/>
      <c r="Y14" s="5" t="s">
        <v>478</v>
      </c>
      <c r="Z14" s="5" t="s">
        <v>479</v>
      </c>
    </row>
    <row r="15" spans="1:26" x14ac:dyDescent="0.25">
      <c r="A15" s="209"/>
      <c r="B15" s="209"/>
      <c r="C15" s="209"/>
      <c r="D15" s="209"/>
      <c r="E15" s="209"/>
      <c r="F15" s="209"/>
      <c r="G15" s="209"/>
      <c r="H15" s="209"/>
      <c r="I15" s="209"/>
      <c r="J15" s="46" t="s">
        <v>39</v>
      </c>
      <c r="K15" s="46" t="s">
        <v>39</v>
      </c>
      <c r="L15" s="46" t="s">
        <v>39</v>
      </c>
      <c r="M15" s="46" t="s">
        <v>480</v>
      </c>
      <c r="N15" s="46" t="s">
        <v>161</v>
      </c>
      <c r="O15" s="46" t="s">
        <v>161</v>
      </c>
      <c r="P15" s="46" t="s">
        <v>161</v>
      </c>
      <c r="Q15" s="46" t="s">
        <v>161</v>
      </c>
      <c r="R15" s="46" t="s">
        <v>161</v>
      </c>
      <c r="S15" s="46" t="s">
        <v>161</v>
      </c>
      <c r="T15" s="46" t="s">
        <v>161</v>
      </c>
      <c r="U15" s="46" t="s">
        <v>481</v>
      </c>
      <c r="V15" s="46" t="s">
        <v>481</v>
      </c>
      <c r="W15" s="209"/>
    </row>
    <row r="16" spans="1:26" x14ac:dyDescent="0.25">
      <c r="A16" s="2">
        <v>1</v>
      </c>
      <c r="B16" s="2" t="s">
        <v>98</v>
      </c>
      <c r="C16" s="2" t="s">
        <v>101</v>
      </c>
      <c r="D16" s="2" t="s">
        <v>105</v>
      </c>
      <c r="E16" s="2" t="s">
        <v>108</v>
      </c>
      <c r="F16" s="2" t="s">
        <v>108</v>
      </c>
      <c r="G16" s="2" t="s">
        <v>109</v>
      </c>
      <c r="H16" s="2" t="s">
        <v>130</v>
      </c>
      <c r="I16" s="2" t="s">
        <v>100</v>
      </c>
      <c r="J16" s="2" t="s">
        <v>97</v>
      </c>
      <c r="K16" s="2" t="s">
        <v>482</v>
      </c>
      <c r="L16" s="2" t="s">
        <v>483</v>
      </c>
      <c r="M16" s="2" t="s">
        <v>484</v>
      </c>
      <c r="N16" s="2" t="s">
        <v>485</v>
      </c>
      <c r="O16" s="2" t="s">
        <v>486</v>
      </c>
      <c r="P16" s="2" t="s">
        <v>487</v>
      </c>
      <c r="Q16" s="2" t="s">
        <v>488</v>
      </c>
      <c r="R16" s="2" t="s">
        <v>489</v>
      </c>
      <c r="S16" s="2" t="s">
        <v>490</v>
      </c>
      <c r="T16" s="2" t="s">
        <v>491</v>
      </c>
      <c r="U16" s="2" t="s">
        <v>492</v>
      </c>
      <c r="V16" s="2" t="s">
        <v>493</v>
      </c>
      <c r="W16" s="2" t="s">
        <v>494</v>
      </c>
    </row>
    <row r="17" spans="1:52" ht="14.25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99">
        <f>SUM(O17:T17)</f>
        <v>188763888.13980371</v>
      </c>
      <c r="O17" s="99">
        <f t="shared" ref="O17:T17" si="0">SUM(O18:O429)</f>
        <v>0</v>
      </c>
      <c r="P17" s="99">
        <f>SUM(P18:P429)</f>
        <v>1110839.17</v>
      </c>
      <c r="Q17" s="99">
        <f t="shared" si="0"/>
        <v>0</v>
      </c>
      <c r="R17" s="99">
        <f t="shared" si="0"/>
        <v>187653048.96980372</v>
      </c>
      <c r="S17" s="99">
        <f t="shared" si="0"/>
        <v>0</v>
      </c>
      <c r="T17" s="99">
        <f t="shared" si="0"/>
        <v>0</v>
      </c>
      <c r="U17" s="20"/>
      <c r="V17" s="20"/>
      <c r="W17" s="21"/>
      <c r="AC17" s="156"/>
      <c r="AZ17" s="156">
        <f>+N17-'Приложение №4'!E12</f>
        <v>0</v>
      </c>
    </row>
    <row r="18" spans="1:52" ht="15" x14ac:dyDescent="0.25">
      <c r="A18" s="157">
        <v>1</v>
      </c>
      <c r="B18" s="158">
        <v>1</v>
      </c>
      <c r="C18" s="158" t="s">
        <v>82</v>
      </c>
      <c r="D18" s="158" t="s">
        <v>287</v>
      </c>
      <c r="E18" s="159" t="s">
        <v>106</v>
      </c>
      <c r="F18" s="159"/>
      <c r="G18" s="159" t="s">
        <v>99</v>
      </c>
      <c r="H18" s="159" t="s">
        <v>97</v>
      </c>
      <c r="I18" s="159" t="s">
        <v>102</v>
      </c>
      <c r="J18" s="160">
        <v>4345.7</v>
      </c>
      <c r="K18" s="160">
        <v>3724.5</v>
      </c>
      <c r="L18" s="160">
        <v>0</v>
      </c>
      <c r="M18" s="161">
        <v>151</v>
      </c>
      <c r="N18" s="162">
        <f t="shared" ref="N18:N113" si="1">+P18+Q18+R18+S18+T18</f>
        <v>1765327.31</v>
      </c>
      <c r="O18" s="160">
        <v>0</v>
      </c>
      <c r="P18" s="160"/>
      <c r="Q18" s="160"/>
      <c r="R18" s="160">
        <f>+'[12]Приложение № 4'!E13</f>
        <v>1765327.31</v>
      </c>
      <c r="S18" s="160"/>
      <c r="T18" s="160"/>
      <c r="U18" s="160">
        <f t="shared" ref="U18:V33" si="2">$N18/($K18+$L18)</f>
        <v>473.97699288495102</v>
      </c>
      <c r="V18" s="160">
        <f t="shared" si="2"/>
        <v>473.97699288495102</v>
      </c>
      <c r="W18" s="163" t="s">
        <v>495</v>
      </c>
      <c r="X18" s="156" t="e">
        <f>+N18-#REF!</f>
        <v>#REF!</v>
      </c>
      <c r="Y18" s="153">
        <v>1766811.28</v>
      </c>
      <c r="Z18" s="153">
        <f>+(K18*12.08+L18*20.47)*12</f>
        <v>539903.52</v>
      </c>
      <c r="AB18" s="156" t="e">
        <f>+N18-#REF!</f>
        <v>#REF!</v>
      </c>
      <c r="AC18" s="164">
        <f>+N18-'[12]Приложение № 4'!E13</f>
        <v>0</v>
      </c>
      <c r="AE18" s="165" t="e">
        <f>+N18-#REF!</f>
        <v>#REF!</v>
      </c>
      <c r="AG18" s="3" t="s">
        <v>287</v>
      </c>
      <c r="AH18" s="4">
        <f t="shared" ref="AH18:AH113" si="3">SUM(AI18:AW18)</f>
        <v>1504969.2593303984</v>
      </c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>
        <v>1480969.2593303984</v>
      </c>
      <c r="AV18" s="4">
        <v>24000</v>
      </c>
      <c r="AW18" s="4"/>
      <c r="AZ18" s="156">
        <f>+N18-'Приложение №4'!E13</f>
        <v>0</v>
      </c>
    </row>
    <row r="19" spans="1:52" ht="15" x14ac:dyDescent="0.25">
      <c r="A19" s="157">
        <f>+A18+1</f>
        <v>2</v>
      </c>
      <c r="B19" s="158">
        <f>+B18+1</f>
        <v>2</v>
      </c>
      <c r="C19" s="158" t="s">
        <v>82</v>
      </c>
      <c r="D19" s="158" t="s">
        <v>288</v>
      </c>
      <c r="E19" s="159" t="s">
        <v>122</v>
      </c>
      <c r="F19" s="159"/>
      <c r="G19" s="159" t="s">
        <v>99</v>
      </c>
      <c r="H19" s="159" t="s">
        <v>108</v>
      </c>
      <c r="I19" s="159" t="s">
        <v>105</v>
      </c>
      <c r="J19" s="160">
        <v>3482.2</v>
      </c>
      <c r="K19" s="160">
        <v>3077.9</v>
      </c>
      <c r="L19" s="160">
        <v>0</v>
      </c>
      <c r="M19" s="161">
        <v>133</v>
      </c>
      <c r="N19" s="162">
        <f t="shared" si="1"/>
        <v>628645.94999999995</v>
      </c>
      <c r="O19" s="160">
        <v>0</v>
      </c>
      <c r="P19" s="160"/>
      <c r="Q19" s="160"/>
      <c r="R19" s="160">
        <f>+'[12]Приложение № 4'!E14</f>
        <v>628645.94999999995</v>
      </c>
      <c r="S19" s="160"/>
      <c r="T19" s="160"/>
      <c r="U19" s="160">
        <f t="shared" si="2"/>
        <v>204.24508593521554</v>
      </c>
      <c r="V19" s="160">
        <f t="shared" si="2"/>
        <v>204.24508593521554</v>
      </c>
      <c r="W19" s="163" t="s">
        <v>495</v>
      </c>
      <c r="X19" s="156" t="e">
        <f>+N19-#REF!</f>
        <v>#REF!</v>
      </c>
      <c r="Y19" s="153">
        <v>1114851.48</v>
      </c>
      <c r="Z19" s="153">
        <f>+(K19*9.1+L19*18.19)*12</f>
        <v>336106.68</v>
      </c>
      <c r="AB19" s="156" t="e">
        <f>+N19-#REF!</f>
        <v>#REF!</v>
      </c>
      <c r="AC19" s="164">
        <f>+N19-'[12]Приложение № 4'!E14</f>
        <v>0</v>
      </c>
      <c r="AE19" s="165" t="e">
        <f>+N19-#REF!</f>
        <v>#REF!</v>
      </c>
      <c r="AG19" s="3" t="s">
        <v>288</v>
      </c>
      <c r="AH19" s="4">
        <f t="shared" si="3"/>
        <v>313039.14806659776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>
        <v>289039.14806659776</v>
      </c>
      <c r="AV19" s="4">
        <v>24000</v>
      </c>
      <c r="AW19" s="4"/>
      <c r="AZ19" s="156">
        <f>+N19-'Приложение №4'!E14</f>
        <v>0</v>
      </c>
    </row>
    <row r="20" spans="1:52" ht="15" x14ac:dyDescent="0.25">
      <c r="A20" s="157">
        <f t="shared" ref="A20:A83" si="4">+A19+1</f>
        <v>3</v>
      </c>
      <c r="B20" s="158">
        <f t="shared" ref="B20:B83" si="5">+B19+1</f>
        <v>3</v>
      </c>
      <c r="C20" s="158" t="s">
        <v>82</v>
      </c>
      <c r="D20" s="158" t="s">
        <v>289</v>
      </c>
      <c r="E20" s="159" t="s">
        <v>103</v>
      </c>
      <c r="F20" s="159"/>
      <c r="G20" s="159" t="s">
        <v>99</v>
      </c>
      <c r="H20" s="159" t="s">
        <v>482</v>
      </c>
      <c r="I20" s="159" t="s">
        <v>98</v>
      </c>
      <c r="J20" s="160">
        <v>6586.2</v>
      </c>
      <c r="K20" s="160">
        <v>5635</v>
      </c>
      <c r="L20" s="160">
        <v>0</v>
      </c>
      <c r="M20" s="161">
        <v>227</v>
      </c>
      <c r="N20" s="162">
        <f t="shared" si="1"/>
        <v>1379242.0499999998</v>
      </c>
      <c r="O20" s="160">
        <v>0</v>
      </c>
      <c r="P20" s="160"/>
      <c r="Q20" s="160"/>
      <c r="R20" s="160">
        <f>+'[12]Приложение № 4'!E15</f>
        <v>1379242.0499999998</v>
      </c>
      <c r="S20" s="160"/>
      <c r="T20" s="160"/>
      <c r="U20" s="160">
        <f t="shared" si="2"/>
        <v>244.76345164152613</v>
      </c>
      <c r="V20" s="160">
        <f t="shared" si="2"/>
        <v>244.76345164152613</v>
      </c>
      <c r="W20" s="163" t="s">
        <v>495</v>
      </c>
      <c r="X20" s="156" t="e">
        <f>+N20-#REF!</f>
        <v>#REF!</v>
      </c>
      <c r="Y20" s="153">
        <v>2575031.0499999998</v>
      </c>
      <c r="Z20" s="153">
        <f>+(K20*12.08+L20*20.47)*12</f>
        <v>816849.60000000009</v>
      </c>
      <c r="AB20" s="156" t="e">
        <f>+N20-#REF!</f>
        <v>#REF!</v>
      </c>
      <c r="AC20" s="164">
        <f>+N20-'[12]Приложение № 4'!E15</f>
        <v>0</v>
      </c>
      <c r="AE20" s="165" t="e">
        <f>+N20-#REF!</f>
        <v>#REF!</v>
      </c>
      <c r="AG20" s="3" t="s">
        <v>289</v>
      </c>
      <c r="AH20" s="4">
        <f t="shared" si="3"/>
        <v>957027.62467332091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>
        <v>933027.62467332091</v>
      </c>
      <c r="AV20" s="4">
        <v>24000</v>
      </c>
      <c r="AW20" s="4"/>
      <c r="AZ20" s="156">
        <f>+N20-'Приложение №4'!E15</f>
        <v>0</v>
      </c>
    </row>
    <row r="21" spans="1:52" ht="15" x14ac:dyDescent="0.25">
      <c r="A21" s="157">
        <f t="shared" si="4"/>
        <v>4</v>
      </c>
      <c r="B21" s="158">
        <f t="shared" si="5"/>
        <v>4</v>
      </c>
      <c r="C21" s="158" t="s">
        <v>82</v>
      </c>
      <c r="D21" s="158" t="s">
        <v>290</v>
      </c>
      <c r="E21" s="159" t="s">
        <v>107</v>
      </c>
      <c r="F21" s="159"/>
      <c r="G21" s="159" t="s">
        <v>99</v>
      </c>
      <c r="H21" s="159" t="s">
        <v>108</v>
      </c>
      <c r="I21" s="159" t="s">
        <v>109</v>
      </c>
      <c r="J21" s="160">
        <v>5213</v>
      </c>
      <c r="K21" s="160">
        <v>4503.1000000000004</v>
      </c>
      <c r="L21" s="160">
        <v>0</v>
      </c>
      <c r="M21" s="161">
        <v>215</v>
      </c>
      <c r="N21" s="162">
        <f t="shared" si="1"/>
        <v>560136.63000000012</v>
      </c>
      <c r="O21" s="160">
        <v>0</v>
      </c>
      <c r="P21" s="160"/>
      <c r="Q21" s="160"/>
      <c r="R21" s="160">
        <f>+'[12]Приложение № 4'!E16</f>
        <v>560136.63000000012</v>
      </c>
      <c r="S21" s="160"/>
      <c r="T21" s="160"/>
      <c r="U21" s="160">
        <f t="shared" si="2"/>
        <v>124.38911638648932</v>
      </c>
      <c r="V21" s="160">
        <f t="shared" si="2"/>
        <v>124.38911638648932</v>
      </c>
      <c r="W21" s="163" t="s">
        <v>495</v>
      </c>
      <c r="X21" s="156" t="e">
        <f>+N21-#REF!</f>
        <v>#REF!</v>
      </c>
      <c r="Y21" s="153">
        <v>1705252.11</v>
      </c>
      <c r="Z21" s="153">
        <f>+(K21*9.1+L21*18.19)*12</f>
        <v>491738.52</v>
      </c>
      <c r="AB21" s="156" t="e">
        <f>+N21-#REF!</f>
        <v>#REF!</v>
      </c>
      <c r="AC21" s="164">
        <f>+N21-'[12]Приложение № 4'!E16</f>
        <v>0</v>
      </c>
      <c r="AE21" s="165" t="e">
        <f>+N21-#REF!</f>
        <v>#REF!</v>
      </c>
      <c r="AG21" s="3" t="s">
        <v>290</v>
      </c>
      <c r="AH21" s="4">
        <f t="shared" si="3"/>
        <v>675007.91550885688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>
        <v>651007.91550885688</v>
      </c>
      <c r="AV21" s="4">
        <v>24000</v>
      </c>
      <c r="AW21" s="4"/>
      <c r="AZ21" s="156">
        <f>+N21-'Приложение №4'!E16</f>
        <v>0</v>
      </c>
    </row>
    <row r="22" spans="1:52" ht="15" x14ac:dyDescent="0.25">
      <c r="A22" s="157">
        <f t="shared" si="4"/>
        <v>5</v>
      </c>
      <c r="B22" s="158">
        <f t="shared" si="5"/>
        <v>5</v>
      </c>
      <c r="C22" s="158" t="s">
        <v>82</v>
      </c>
      <c r="D22" s="158" t="s">
        <v>291</v>
      </c>
      <c r="E22" s="159" t="s">
        <v>139</v>
      </c>
      <c r="F22" s="159"/>
      <c r="G22" s="159" t="s">
        <v>99</v>
      </c>
      <c r="H22" s="159" t="s">
        <v>97</v>
      </c>
      <c r="I22" s="159" t="s">
        <v>102</v>
      </c>
      <c r="J22" s="160">
        <v>3148.2</v>
      </c>
      <c r="K22" s="160">
        <v>2680.4</v>
      </c>
      <c r="L22" s="160">
        <v>153.5</v>
      </c>
      <c r="M22" s="161">
        <v>87</v>
      </c>
      <c r="N22" s="162">
        <f t="shared" si="1"/>
        <v>441934.27</v>
      </c>
      <c r="O22" s="160">
        <v>0</v>
      </c>
      <c r="P22" s="160"/>
      <c r="Q22" s="160"/>
      <c r="R22" s="160">
        <f>+'[12]Приложение № 4'!E17</f>
        <v>441934.27</v>
      </c>
      <c r="S22" s="160"/>
      <c r="T22" s="160"/>
      <c r="U22" s="160">
        <f t="shared" si="2"/>
        <v>155.94561205405978</v>
      </c>
      <c r="V22" s="160">
        <f t="shared" si="2"/>
        <v>155.94561205405978</v>
      </c>
      <c r="W22" s="163" t="s">
        <v>495</v>
      </c>
      <c r="X22" s="156" t="e">
        <f>+N22-#REF!</f>
        <v>#REF!</v>
      </c>
      <c r="Y22" s="153">
        <v>1229894.27</v>
      </c>
      <c r="Z22" s="153">
        <f>+(K22*12.08+L22*20.47)*12</f>
        <v>426256.52399999998</v>
      </c>
      <c r="AB22" s="156" t="e">
        <f>+N22-#REF!</f>
        <v>#REF!</v>
      </c>
      <c r="AC22" s="164">
        <f>+N22-'[12]Приложение № 4'!E17</f>
        <v>0</v>
      </c>
      <c r="AE22" s="165" t="e">
        <f>+N22-#REF!</f>
        <v>#REF!</v>
      </c>
      <c r="AG22" s="3" t="s">
        <v>291</v>
      </c>
      <c r="AH22" s="4">
        <f t="shared" si="3"/>
        <v>537499.0614078918</v>
      </c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>
        <v>513499.0614078918</v>
      </c>
      <c r="AV22" s="4">
        <v>24000</v>
      </c>
      <c r="AW22" s="4"/>
      <c r="AZ22" s="156">
        <f>+N22-'Приложение №4'!E17</f>
        <v>0</v>
      </c>
    </row>
    <row r="23" spans="1:52" ht="15" x14ac:dyDescent="0.25">
      <c r="A23" s="157">
        <f t="shared" si="4"/>
        <v>6</v>
      </c>
      <c r="B23" s="158">
        <f t="shared" si="5"/>
        <v>6</v>
      </c>
      <c r="C23" s="158" t="s">
        <v>82</v>
      </c>
      <c r="D23" s="158" t="s">
        <v>292</v>
      </c>
      <c r="E23" s="159" t="s">
        <v>122</v>
      </c>
      <c r="F23" s="159"/>
      <c r="G23" s="159" t="s">
        <v>99</v>
      </c>
      <c r="H23" s="159" t="s">
        <v>108</v>
      </c>
      <c r="I23" s="159" t="s">
        <v>98</v>
      </c>
      <c r="J23" s="160">
        <v>2035.2</v>
      </c>
      <c r="K23" s="160">
        <v>1834.6</v>
      </c>
      <c r="L23" s="160">
        <v>0</v>
      </c>
      <c r="M23" s="161">
        <v>64</v>
      </c>
      <c r="N23" s="162">
        <f t="shared" si="1"/>
        <v>514059.43000000005</v>
      </c>
      <c r="O23" s="160">
        <v>0</v>
      </c>
      <c r="P23" s="160"/>
      <c r="Q23" s="160"/>
      <c r="R23" s="160">
        <f>+'[12]Приложение № 4'!E18</f>
        <v>514059.43000000005</v>
      </c>
      <c r="S23" s="160"/>
      <c r="T23" s="160"/>
      <c r="U23" s="160">
        <f t="shared" si="2"/>
        <v>280.20245830153715</v>
      </c>
      <c r="V23" s="160">
        <f t="shared" si="2"/>
        <v>280.20245830153715</v>
      </c>
      <c r="W23" s="163" t="s">
        <v>495</v>
      </c>
      <c r="X23" s="156" t="e">
        <f>+N23-#REF!</f>
        <v>#REF!</v>
      </c>
      <c r="Y23" s="153">
        <v>661360.55000000005</v>
      </c>
      <c r="Z23" s="153">
        <f>+(K23*9.1+L23*18.19)*12</f>
        <v>200338.31999999995</v>
      </c>
      <c r="AB23" s="156" t="e">
        <f>+N23-#REF!</f>
        <v>#REF!</v>
      </c>
      <c r="AC23" s="164">
        <f>+N23-'[12]Приложение № 4'!E18</f>
        <v>0</v>
      </c>
      <c r="AE23" s="165" t="e">
        <f>+N23-#REF!</f>
        <v>#REF!</v>
      </c>
      <c r="AG23" s="3" t="s">
        <v>292</v>
      </c>
      <c r="AH23" s="4">
        <f t="shared" si="3"/>
        <v>257327.43846335544</v>
      </c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>
        <v>233327.43846335544</v>
      </c>
      <c r="AV23" s="4">
        <v>24000</v>
      </c>
      <c r="AW23" s="4"/>
      <c r="AZ23" s="156">
        <f>+N23-'Приложение №4'!E18</f>
        <v>0</v>
      </c>
    </row>
    <row r="24" spans="1:52" ht="15" x14ac:dyDescent="0.25">
      <c r="A24" s="157">
        <f t="shared" si="4"/>
        <v>7</v>
      </c>
      <c r="B24" s="158">
        <f t="shared" si="5"/>
        <v>7</v>
      </c>
      <c r="C24" s="158" t="s">
        <v>82</v>
      </c>
      <c r="D24" s="158" t="s">
        <v>425</v>
      </c>
      <c r="E24" s="159" t="s">
        <v>139</v>
      </c>
      <c r="F24" s="159"/>
      <c r="G24" s="159" t="s">
        <v>99</v>
      </c>
      <c r="H24" s="159" t="s">
        <v>97</v>
      </c>
      <c r="I24" s="159" t="s">
        <v>102</v>
      </c>
      <c r="J24" s="160">
        <v>3163.5</v>
      </c>
      <c r="K24" s="160">
        <v>2693.8</v>
      </c>
      <c r="L24" s="160">
        <v>0</v>
      </c>
      <c r="M24" s="161">
        <v>143</v>
      </c>
      <c r="N24" s="162">
        <f t="shared" si="1"/>
        <v>539082.57716751983</v>
      </c>
      <c r="O24" s="160">
        <v>0</v>
      </c>
      <c r="P24" s="160"/>
      <c r="Q24" s="160"/>
      <c r="R24" s="160">
        <f>+'[12]Приложение № 4'!E19</f>
        <v>539082.57716751983</v>
      </c>
      <c r="S24" s="160"/>
      <c r="T24" s="160"/>
      <c r="U24" s="160">
        <f t="shared" si="2"/>
        <v>200.11974800190058</v>
      </c>
      <c r="V24" s="160">
        <f t="shared" si="2"/>
        <v>200.11974800190058</v>
      </c>
      <c r="W24" s="163" t="s">
        <v>495</v>
      </c>
      <c r="X24" s="156" t="e">
        <f>+N24-#REF!</f>
        <v>#REF!</v>
      </c>
      <c r="Y24" s="153">
        <v>1300254.93</v>
      </c>
      <c r="Z24" s="153">
        <f t="shared" ref="Z24:Z31" si="6">+(K24*12.08+L24*20.47)*12</f>
        <v>390493.24800000002</v>
      </c>
      <c r="AB24" s="156" t="e">
        <f>+N24-#REF!</f>
        <v>#REF!</v>
      </c>
      <c r="AC24" s="164">
        <f>+N24-'[12]Приложение № 4'!E19</f>
        <v>0</v>
      </c>
      <c r="AE24" s="165" t="e">
        <f>+N24-#REF!</f>
        <v>#REF!</v>
      </c>
      <c r="AG24" s="3" t="s">
        <v>425</v>
      </c>
      <c r="AH24" s="4">
        <f t="shared" si="3"/>
        <v>539082.57716751983</v>
      </c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>
        <v>515082.57716751978</v>
      </c>
      <c r="AV24" s="4">
        <v>24000</v>
      </c>
      <c r="AW24" s="4"/>
      <c r="AZ24" s="156">
        <f>+N24-'Приложение №4'!E19</f>
        <v>0</v>
      </c>
    </row>
    <row r="25" spans="1:52" ht="15" x14ac:dyDescent="0.25">
      <c r="A25" s="157">
        <f t="shared" si="4"/>
        <v>8</v>
      </c>
      <c r="B25" s="158">
        <f t="shared" si="5"/>
        <v>8</v>
      </c>
      <c r="C25" s="158" t="s">
        <v>82</v>
      </c>
      <c r="D25" s="158" t="s">
        <v>426</v>
      </c>
      <c r="E25" s="159" t="s">
        <v>139</v>
      </c>
      <c r="F25" s="159"/>
      <c r="G25" s="159" t="s">
        <v>99</v>
      </c>
      <c r="H25" s="159" t="s">
        <v>97</v>
      </c>
      <c r="I25" s="159" t="s">
        <v>102</v>
      </c>
      <c r="J25" s="160">
        <v>3150</v>
      </c>
      <c r="K25" s="160">
        <v>2678.1</v>
      </c>
      <c r="L25" s="160">
        <v>0</v>
      </c>
      <c r="M25" s="161">
        <v>125</v>
      </c>
      <c r="N25" s="162">
        <f t="shared" si="1"/>
        <v>413345.9236279992</v>
      </c>
      <c r="O25" s="160">
        <v>0</v>
      </c>
      <c r="P25" s="160"/>
      <c r="Q25" s="160"/>
      <c r="R25" s="160">
        <f>+'[12]Приложение № 4'!E20</f>
        <v>413345.9236279992</v>
      </c>
      <c r="S25" s="160"/>
      <c r="T25" s="160"/>
      <c r="U25" s="160">
        <f t="shared" si="2"/>
        <v>154.34297585153624</v>
      </c>
      <c r="V25" s="160">
        <f t="shared" si="2"/>
        <v>154.34297585153624</v>
      </c>
      <c r="W25" s="163" t="s">
        <v>495</v>
      </c>
      <c r="X25" s="156" t="e">
        <f>+N25-#REF!</f>
        <v>#REF!</v>
      </c>
      <c r="Y25" s="153">
        <v>1204645.43</v>
      </c>
      <c r="Z25" s="153">
        <f t="shared" si="6"/>
        <v>388217.37599999999</v>
      </c>
      <c r="AB25" s="156" t="e">
        <f>+N25-#REF!</f>
        <v>#REF!</v>
      </c>
      <c r="AC25" s="164">
        <f>+N25-'[12]Приложение № 4'!E20</f>
        <v>0</v>
      </c>
      <c r="AE25" s="165" t="e">
        <f>+N25-#REF!</f>
        <v>#REF!</v>
      </c>
      <c r="AG25" s="3" t="s">
        <v>426</v>
      </c>
      <c r="AH25" s="4">
        <f t="shared" si="3"/>
        <v>413345.9236279992</v>
      </c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>
        <v>389345.9236279992</v>
      </c>
      <c r="AV25" s="4">
        <v>24000</v>
      </c>
      <c r="AW25" s="4"/>
      <c r="AZ25" s="156">
        <f>+N25-'Приложение №4'!E20</f>
        <v>0</v>
      </c>
    </row>
    <row r="26" spans="1:52" ht="15" x14ac:dyDescent="0.25">
      <c r="A26" s="157">
        <f t="shared" si="4"/>
        <v>9</v>
      </c>
      <c r="B26" s="158">
        <f t="shared" si="5"/>
        <v>9</v>
      </c>
      <c r="C26" s="158" t="s">
        <v>82</v>
      </c>
      <c r="D26" s="158" t="s">
        <v>427</v>
      </c>
      <c r="E26" s="159" t="s">
        <v>106</v>
      </c>
      <c r="F26" s="159"/>
      <c r="G26" s="159" t="s">
        <v>99</v>
      </c>
      <c r="H26" s="159" t="s">
        <v>97</v>
      </c>
      <c r="I26" s="159" t="s">
        <v>102</v>
      </c>
      <c r="J26" s="160">
        <v>2846</v>
      </c>
      <c r="K26" s="160">
        <v>2452.1999999999998</v>
      </c>
      <c r="L26" s="160">
        <v>0</v>
      </c>
      <c r="M26" s="161">
        <v>98</v>
      </c>
      <c r="N26" s="162">
        <f t="shared" si="1"/>
        <v>360975.41000000003</v>
      </c>
      <c r="O26" s="160">
        <v>0</v>
      </c>
      <c r="P26" s="160"/>
      <c r="Q26" s="160"/>
      <c r="R26" s="160">
        <f>+'[12]Приложение № 4'!E21</f>
        <v>360975.41000000003</v>
      </c>
      <c r="S26" s="160"/>
      <c r="T26" s="160"/>
      <c r="U26" s="160">
        <f t="shared" si="2"/>
        <v>147.20471821221761</v>
      </c>
      <c r="V26" s="160">
        <f t="shared" si="2"/>
        <v>147.20471821221761</v>
      </c>
      <c r="W26" s="163" t="s">
        <v>495</v>
      </c>
      <c r="X26" s="156" t="e">
        <f>+N26-#REF!</f>
        <v>#REF!</v>
      </c>
      <c r="Y26" s="153">
        <v>1243915.29</v>
      </c>
      <c r="Z26" s="153">
        <f t="shared" si="6"/>
        <v>355470.91199999995</v>
      </c>
      <c r="AB26" s="156" t="e">
        <f>+N26-#REF!</f>
        <v>#REF!</v>
      </c>
      <c r="AC26" s="164">
        <f>+N26-'[12]Приложение № 4'!E21</f>
        <v>0</v>
      </c>
      <c r="AE26" s="165" t="e">
        <f>+N26-#REF!</f>
        <v>#REF!</v>
      </c>
      <c r="AG26" s="3" t="s">
        <v>427</v>
      </c>
      <c r="AH26" s="4">
        <f t="shared" si="3"/>
        <v>406592.62672878237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>
        <v>382592.62672878237</v>
      </c>
      <c r="AV26" s="4">
        <v>24000</v>
      </c>
      <c r="AW26" s="4"/>
      <c r="AZ26" s="156">
        <f>+N26-'Приложение №4'!E21</f>
        <v>0</v>
      </c>
    </row>
    <row r="27" spans="1:52" ht="15" x14ac:dyDescent="0.25">
      <c r="A27" s="157">
        <f t="shared" si="4"/>
        <v>10</v>
      </c>
      <c r="B27" s="158">
        <f t="shared" si="5"/>
        <v>10</v>
      </c>
      <c r="C27" s="158" t="s">
        <v>82</v>
      </c>
      <c r="D27" s="158" t="s">
        <v>428</v>
      </c>
      <c r="E27" s="159" t="s">
        <v>122</v>
      </c>
      <c r="F27" s="159"/>
      <c r="G27" s="159" t="s">
        <v>99</v>
      </c>
      <c r="H27" s="159" t="s">
        <v>97</v>
      </c>
      <c r="I27" s="159" t="s">
        <v>102</v>
      </c>
      <c r="J27" s="160">
        <v>2945.2</v>
      </c>
      <c r="K27" s="160">
        <v>2418.6</v>
      </c>
      <c r="L27" s="160">
        <v>98.6</v>
      </c>
      <c r="M27" s="161">
        <v>71</v>
      </c>
      <c r="N27" s="162">
        <f t="shared" si="1"/>
        <v>365115.69</v>
      </c>
      <c r="O27" s="160">
        <v>0</v>
      </c>
      <c r="P27" s="160"/>
      <c r="Q27" s="160"/>
      <c r="R27" s="160">
        <f>+'[12]Приложение № 4'!E22</f>
        <v>365115.69</v>
      </c>
      <c r="S27" s="160"/>
      <c r="T27" s="160"/>
      <c r="U27" s="160">
        <f t="shared" si="2"/>
        <v>145.04834339742573</v>
      </c>
      <c r="V27" s="160">
        <f t="shared" si="2"/>
        <v>145.04834339742573</v>
      </c>
      <c r="W27" s="163" t="s">
        <v>495</v>
      </c>
      <c r="X27" s="156" t="e">
        <f>+N27-#REF!</f>
        <v>#REF!</v>
      </c>
      <c r="Y27" s="153">
        <v>1275757.28</v>
      </c>
      <c r="Z27" s="153">
        <f t="shared" si="6"/>
        <v>374820.36</v>
      </c>
      <c r="AB27" s="156" t="e">
        <f>+N27-#REF!</f>
        <v>#REF!</v>
      </c>
      <c r="AC27" s="164">
        <f>+N27-'[12]Приложение № 4'!E22</f>
        <v>0</v>
      </c>
      <c r="AE27" s="165" t="e">
        <f>+N27-#REF!</f>
        <v>#REF!</v>
      </c>
      <c r="AG27" s="3" t="s">
        <v>428</v>
      </c>
      <c r="AH27" s="4">
        <f t="shared" si="3"/>
        <v>408912.49530239997</v>
      </c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>
        <v>384912.49530239997</v>
      </c>
      <c r="AV27" s="4">
        <v>24000</v>
      </c>
      <c r="AW27" s="4"/>
      <c r="AZ27" s="156">
        <f>+N27-'Приложение №4'!E22</f>
        <v>0</v>
      </c>
    </row>
    <row r="28" spans="1:52" ht="15" x14ac:dyDescent="0.25">
      <c r="A28" s="157">
        <f t="shared" si="4"/>
        <v>11</v>
      </c>
      <c r="B28" s="158">
        <f t="shared" si="5"/>
        <v>11</v>
      </c>
      <c r="C28" s="158" t="s">
        <v>82</v>
      </c>
      <c r="D28" s="158" t="s">
        <v>429</v>
      </c>
      <c r="E28" s="159" t="s">
        <v>122</v>
      </c>
      <c r="F28" s="159"/>
      <c r="G28" s="159" t="s">
        <v>99</v>
      </c>
      <c r="H28" s="159" t="s">
        <v>97</v>
      </c>
      <c r="I28" s="159" t="s">
        <v>98</v>
      </c>
      <c r="J28" s="160">
        <v>5832.9</v>
      </c>
      <c r="K28" s="160">
        <v>4738.3999999999996</v>
      </c>
      <c r="L28" s="160">
        <v>267.2</v>
      </c>
      <c r="M28" s="161">
        <v>154</v>
      </c>
      <c r="N28" s="162">
        <f t="shared" si="1"/>
        <v>1132940.07</v>
      </c>
      <c r="O28" s="160">
        <v>0</v>
      </c>
      <c r="P28" s="160"/>
      <c r="Q28" s="160"/>
      <c r="R28" s="160">
        <f>+'[12]Приложение № 4'!E23</f>
        <v>1132940.07</v>
      </c>
      <c r="S28" s="160"/>
      <c r="T28" s="160"/>
      <c r="U28" s="160">
        <f t="shared" si="2"/>
        <v>226.3345193383411</v>
      </c>
      <c r="V28" s="160">
        <f t="shared" si="2"/>
        <v>226.3345193383411</v>
      </c>
      <c r="W28" s="163" t="s">
        <v>495</v>
      </c>
      <c r="X28" s="156" t="e">
        <f>+N28-#REF!</f>
        <v>#REF!</v>
      </c>
      <c r="Y28" s="153">
        <v>2365307.71</v>
      </c>
      <c r="Z28" s="153">
        <f t="shared" si="6"/>
        <v>752513.47199999995</v>
      </c>
      <c r="AB28" s="156" t="e">
        <f>+N28-#REF!</f>
        <v>#REF!</v>
      </c>
      <c r="AC28" s="164">
        <f>+N28-'[12]Приложение № 4'!E23</f>
        <v>0</v>
      </c>
      <c r="AE28" s="165" t="e">
        <f>+N28-#REF!</f>
        <v>#REF!</v>
      </c>
      <c r="AG28" s="3" t="s">
        <v>429</v>
      </c>
      <c r="AH28" s="4">
        <f t="shared" si="3"/>
        <v>1241162.9626559997</v>
      </c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>
        <v>1217162.9626559997</v>
      </c>
      <c r="AV28" s="4">
        <v>24000</v>
      </c>
      <c r="AW28" s="4"/>
      <c r="AZ28" s="156">
        <f>+N28-'Приложение №4'!E23</f>
        <v>0</v>
      </c>
    </row>
    <row r="29" spans="1:52" ht="15" x14ac:dyDescent="0.25">
      <c r="A29" s="157">
        <f t="shared" si="4"/>
        <v>12</v>
      </c>
      <c r="B29" s="158">
        <f t="shared" si="5"/>
        <v>12</v>
      </c>
      <c r="C29" s="158" t="s">
        <v>82</v>
      </c>
      <c r="D29" s="158" t="s">
        <v>430</v>
      </c>
      <c r="E29" s="159" t="s">
        <v>104</v>
      </c>
      <c r="F29" s="159"/>
      <c r="G29" s="159" t="s">
        <v>99</v>
      </c>
      <c r="H29" s="159" t="s">
        <v>97</v>
      </c>
      <c r="I29" s="159" t="s">
        <v>102</v>
      </c>
      <c r="J29" s="160">
        <v>4533.6000000000004</v>
      </c>
      <c r="K29" s="160">
        <v>3892</v>
      </c>
      <c r="L29" s="160">
        <v>0</v>
      </c>
      <c r="M29" s="161">
        <v>155</v>
      </c>
      <c r="N29" s="162">
        <f t="shared" si="1"/>
        <v>1019590.6252053897</v>
      </c>
      <c r="O29" s="160">
        <v>0</v>
      </c>
      <c r="P29" s="160"/>
      <c r="Q29" s="160"/>
      <c r="R29" s="160">
        <f>+'[12]Приложение № 4'!E24</f>
        <v>1019590.6252053897</v>
      </c>
      <c r="S29" s="160"/>
      <c r="T29" s="160"/>
      <c r="U29" s="160">
        <f t="shared" si="2"/>
        <v>261.97086978555745</v>
      </c>
      <c r="V29" s="160">
        <f t="shared" si="2"/>
        <v>261.97086978555745</v>
      </c>
      <c r="W29" s="163" t="s">
        <v>495</v>
      </c>
      <c r="X29" s="156" t="e">
        <f>+N29-#REF!</f>
        <v>#REF!</v>
      </c>
      <c r="Y29" s="153">
        <v>1870903.38</v>
      </c>
      <c r="Z29" s="153">
        <f t="shared" si="6"/>
        <v>564184.32000000007</v>
      </c>
      <c r="AB29" s="156" t="e">
        <f>+N29-#REF!</f>
        <v>#REF!</v>
      </c>
      <c r="AC29" s="164">
        <f>+N29-'[12]Приложение № 4'!E24</f>
        <v>0</v>
      </c>
      <c r="AE29" s="165" t="e">
        <f>+N29-#REF!</f>
        <v>#REF!</v>
      </c>
      <c r="AG29" s="3" t="s">
        <v>430</v>
      </c>
      <c r="AH29" s="4">
        <f t="shared" si="3"/>
        <v>1019590.6252053897</v>
      </c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>
        <v>995590.62520538969</v>
      </c>
      <c r="AV29" s="4">
        <v>24000</v>
      </c>
      <c r="AW29" s="4"/>
      <c r="AZ29" s="156">
        <f>+N29-'Приложение №4'!E24</f>
        <v>0</v>
      </c>
    </row>
    <row r="30" spans="1:52" ht="15" x14ac:dyDescent="0.25">
      <c r="A30" s="157">
        <f t="shared" si="4"/>
        <v>13</v>
      </c>
      <c r="B30" s="158">
        <f t="shared" si="5"/>
        <v>13</v>
      </c>
      <c r="C30" s="158" t="s">
        <v>82</v>
      </c>
      <c r="D30" s="158" t="s">
        <v>431</v>
      </c>
      <c r="E30" s="159" t="s">
        <v>104</v>
      </c>
      <c r="F30" s="159"/>
      <c r="G30" s="159" t="s">
        <v>99</v>
      </c>
      <c r="H30" s="159" t="s">
        <v>97</v>
      </c>
      <c r="I30" s="159" t="s">
        <v>102</v>
      </c>
      <c r="J30" s="160">
        <v>4531.3</v>
      </c>
      <c r="K30" s="160">
        <v>3890.9</v>
      </c>
      <c r="L30" s="160">
        <v>0</v>
      </c>
      <c r="M30" s="161">
        <v>144</v>
      </c>
      <c r="N30" s="162">
        <f t="shared" si="1"/>
        <v>584127.39066321694</v>
      </c>
      <c r="O30" s="160">
        <v>0</v>
      </c>
      <c r="P30" s="160"/>
      <c r="Q30" s="160"/>
      <c r="R30" s="160">
        <f>+'[12]Приложение № 4'!E25</f>
        <v>584127.39066321694</v>
      </c>
      <c r="S30" s="160"/>
      <c r="T30" s="160"/>
      <c r="U30" s="160">
        <f t="shared" si="2"/>
        <v>150.12654929790457</v>
      </c>
      <c r="V30" s="160">
        <f t="shared" si="2"/>
        <v>150.12654929790457</v>
      </c>
      <c r="W30" s="163" t="s">
        <v>495</v>
      </c>
      <c r="X30" s="156" t="e">
        <f>+N30-#REF!</f>
        <v>#REF!</v>
      </c>
      <c r="Y30" s="153">
        <v>1933986.18</v>
      </c>
      <c r="Z30" s="153">
        <f t="shared" si="6"/>
        <v>564024.86400000006</v>
      </c>
      <c r="AB30" s="156" t="e">
        <f>+N30-#REF!</f>
        <v>#REF!</v>
      </c>
      <c r="AC30" s="164">
        <f>+N30-'[12]Приложение № 4'!E25</f>
        <v>0</v>
      </c>
      <c r="AE30" s="165" t="e">
        <f>+N30-#REF!</f>
        <v>#REF!</v>
      </c>
      <c r="AG30" s="3" t="s">
        <v>431</v>
      </c>
      <c r="AH30" s="4">
        <f t="shared" si="3"/>
        <v>584127.39066321694</v>
      </c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>
        <v>560127.39066321694</v>
      </c>
      <c r="AV30" s="4">
        <v>24000</v>
      </c>
      <c r="AW30" s="4"/>
      <c r="AZ30" s="156">
        <f>+N30-'Приложение №4'!E25</f>
        <v>0</v>
      </c>
    </row>
    <row r="31" spans="1:52" ht="15" x14ac:dyDescent="0.25">
      <c r="A31" s="157">
        <f t="shared" si="4"/>
        <v>14</v>
      </c>
      <c r="B31" s="158">
        <f t="shared" si="5"/>
        <v>14</v>
      </c>
      <c r="C31" s="158" t="s">
        <v>82</v>
      </c>
      <c r="D31" s="158" t="s">
        <v>432</v>
      </c>
      <c r="E31" s="159" t="s">
        <v>139</v>
      </c>
      <c r="F31" s="159"/>
      <c r="G31" s="159" t="s">
        <v>99</v>
      </c>
      <c r="H31" s="159" t="s">
        <v>97</v>
      </c>
      <c r="I31" s="159" t="s">
        <v>108</v>
      </c>
      <c r="J31" s="160">
        <v>13710.6</v>
      </c>
      <c r="K31" s="160">
        <v>10703.7</v>
      </c>
      <c r="L31" s="160">
        <v>923.1</v>
      </c>
      <c r="M31" s="161">
        <v>477</v>
      </c>
      <c r="N31" s="162">
        <f t="shared" si="1"/>
        <v>194947.9</v>
      </c>
      <c r="O31" s="160">
        <v>0</v>
      </c>
      <c r="P31" s="160"/>
      <c r="Q31" s="160"/>
      <c r="R31" s="160">
        <f>+'[12]Приложение № 4'!E26</f>
        <v>194947.9</v>
      </c>
      <c r="S31" s="160"/>
      <c r="T31" s="160"/>
      <c r="U31" s="160">
        <f t="shared" si="2"/>
        <v>16.767115629407918</v>
      </c>
      <c r="V31" s="160">
        <f t="shared" si="2"/>
        <v>16.767115629407918</v>
      </c>
      <c r="W31" s="163" t="s">
        <v>495</v>
      </c>
      <c r="X31" s="156" t="e">
        <f>+N31-#REF!</f>
        <v>#REF!</v>
      </c>
      <c r="Y31" s="153">
        <v>5707766.4299999997</v>
      </c>
      <c r="Z31" s="153">
        <f t="shared" si="6"/>
        <v>1778358.6360000002</v>
      </c>
      <c r="AB31" s="156" t="e">
        <f>+N31-#REF!</f>
        <v>#REF!</v>
      </c>
      <c r="AC31" s="164">
        <f>+N31-'[12]Приложение № 4'!E26</f>
        <v>0</v>
      </c>
      <c r="AE31" s="165" t="e">
        <f>+N31-#REF!</f>
        <v>#REF!</v>
      </c>
      <c r="AG31" s="3" t="s">
        <v>432</v>
      </c>
      <c r="AH31" s="4">
        <f t="shared" si="3"/>
        <v>237835.27468032</v>
      </c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>
        <v>213835.27468032</v>
      </c>
      <c r="AV31" s="4">
        <v>24000</v>
      </c>
      <c r="AW31" s="4"/>
      <c r="AZ31" s="156">
        <f>+N31-'Приложение №4'!E26</f>
        <v>0</v>
      </c>
    </row>
    <row r="32" spans="1:52" ht="15" x14ac:dyDescent="0.25">
      <c r="A32" s="157">
        <f t="shared" si="4"/>
        <v>15</v>
      </c>
      <c r="B32" s="158">
        <f t="shared" si="5"/>
        <v>15</v>
      </c>
      <c r="C32" s="158" t="s">
        <v>82</v>
      </c>
      <c r="D32" s="158" t="s">
        <v>433</v>
      </c>
      <c r="E32" s="159" t="s">
        <v>139</v>
      </c>
      <c r="F32" s="159"/>
      <c r="G32" s="159" t="s">
        <v>99</v>
      </c>
      <c r="H32" s="159" t="s">
        <v>108</v>
      </c>
      <c r="I32" s="159" t="s">
        <v>105</v>
      </c>
      <c r="J32" s="160">
        <v>5725</v>
      </c>
      <c r="K32" s="160">
        <v>4803</v>
      </c>
      <c r="L32" s="160">
        <v>0</v>
      </c>
      <c r="M32" s="161">
        <v>190</v>
      </c>
      <c r="N32" s="162">
        <f t="shared" si="1"/>
        <v>544797.25</v>
      </c>
      <c r="O32" s="160">
        <v>0</v>
      </c>
      <c r="P32" s="160"/>
      <c r="Q32" s="160"/>
      <c r="R32" s="160">
        <f>+'[12]Приложение № 4'!E27</f>
        <v>544797.25</v>
      </c>
      <c r="S32" s="160"/>
      <c r="T32" s="160"/>
      <c r="U32" s="160">
        <f t="shared" si="2"/>
        <v>113.42853424942744</v>
      </c>
      <c r="V32" s="160">
        <f t="shared" si="2"/>
        <v>113.42853424942744</v>
      </c>
      <c r="W32" s="163" t="s">
        <v>495</v>
      </c>
      <c r="X32" s="156" t="e">
        <f>+N32-#REF!</f>
        <v>#REF!</v>
      </c>
      <c r="Y32" s="153">
        <v>1977202.24</v>
      </c>
      <c r="Z32" s="153">
        <f>+(K32*9.1+L32*18.19)*12</f>
        <v>524487.6</v>
      </c>
      <c r="AB32" s="156" t="e">
        <f>+N32-#REF!</f>
        <v>#REF!</v>
      </c>
      <c r="AC32" s="164">
        <f>+N32-'[12]Приложение № 4'!E27</f>
        <v>0</v>
      </c>
      <c r="AE32" s="165" t="e">
        <f>+N32-#REF!</f>
        <v>#REF!</v>
      </c>
      <c r="AG32" s="3" t="s">
        <v>433</v>
      </c>
      <c r="AH32" s="4">
        <f t="shared" si="3"/>
        <v>816012.83335832052</v>
      </c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>
        <v>792012.83335832052</v>
      </c>
      <c r="AV32" s="4">
        <v>24000</v>
      </c>
      <c r="AW32" s="4"/>
      <c r="AZ32" s="156">
        <f>+N32-'Приложение №4'!E27</f>
        <v>0</v>
      </c>
    </row>
    <row r="33" spans="1:52" ht="15" x14ac:dyDescent="0.25">
      <c r="A33" s="157">
        <f t="shared" si="4"/>
        <v>16</v>
      </c>
      <c r="B33" s="158">
        <f t="shared" si="5"/>
        <v>16</v>
      </c>
      <c r="C33" s="158" t="s">
        <v>82</v>
      </c>
      <c r="D33" s="158" t="s">
        <v>299</v>
      </c>
      <c r="E33" s="159" t="s">
        <v>139</v>
      </c>
      <c r="F33" s="159"/>
      <c r="G33" s="159" t="s">
        <v>99</v>
      </c>
      <c r="H33" s="159" t="s">
        <v>97</v>
      </c>
      <c r="I33" s="159" t="s">
        <v>102</v>
      </c>
      <c r="J33" s="160">
        <v>3109.7</v>
      </c>
      <c r="K33" s="160">
        <v>2518.8000000000002</v>
      </c>
      <c r="L33" s="160">
        <v>150.30000000000001</v>
      </c>
      <c r="M33" s="161">
        <v>112</v>
      </c>
      <c r="N33" s="162">
        <f t="shared" si="1"/>
        <v>750904.93</v>
      </c>
      <c r="O33" s="160">
        <v>0</v>
      </c>
      <c r="P33" s="160"/>
      <c r="Q33" s="160"/>
      <c r="R33" s="160">
        <f>+'[12]Приложение № 4'!E28</f>
        <v>750904.93</v>
      </c>
      <c r="S33" s="160"/>
      <c r="T33" s="160"/>
      <c r="U33" s="160">
        <f t="shared" si="2"/>
        <v>281.3326327226406</v>
      </c>
      <c r="V33" s="160">
        <f t="shared" si="2"/>
        <v>281.3326327226406</v>
      </c>
      <c r="W33" s="163" t="s">
        <v>495</v>
      </c>
      <c r="X33" s="156" t="e">
        <f>+N33-#REF!</f>
        <v>#REF!</v>
      </c>
      <c r="Y33" s="153">
        <v>1351374</v>
      </c>
      <c r="Z33" s="153">
        <f>+(K33*12.08+L33*20.47)*12</f>
        <v>402044.94000000006</v>
      </c>
      <c r="AB33" s="156" t="e">
        <f>+N33-#REF!</f>
        <v>#REF!</v>
      </c>
      <c r="AC33" s="164">
        <f>+N33-'[12]Приложение № 4'!E28</f>
        <v>0</v>
      </c>
      <c r="AE33" s="165" t="e">
        <f>+N33-#REF!</f>
        <v>#REF!</v>
      </c>
      <c r="AG33" s="3" t="s">
        <v>299</v>
      </c>
      <c r="AH33" s="4">
        <f t="shared" si="3"/>
        <v>412881.09493287123</v>
      </c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>
        <v>388881.09493287123</v>
      </c>
      <c r="AV33" s="4">
        <v>24000</v>
      </c>
      <c r="AW33" s="4"/>
      <c r="AZ33" s="156">
        <f>+N33-'Приложение №4'!E28</f>
        <v>0</v>
      </c>
    </row>
    <row r="34" spans="1:52" ht="15" x14ac:dyDescent="0.25">
      <c r="A34" s="157">
        <f t="shared" si="4"/>
        <v>17</v>
      </c>
      <c r="B34" s="158">
        <f t="shared" si="5"/>
        <v>17</v>
      </c>
      <c r="C34" s="158" t="s">
        <v>82</v>
      </c>
      <c r="D34" s="158" t="s">
        <v>434</v>
      </c>
      <c r="E34" s="159" t="s">
        <v>133</v>
      </c>
      <c r="F34" s="159"/>
      <c r="G34" s="159" t="s">
        <v>99</v>
      </c>
      <c r="H34" s="159" t="s">
        <v>97</v>
      </c>
      <c r="I34" s="159" t="s">
        <v>101</v>
      </c>
      <c r="J34" s="160">
        <v>6554</v>
      </c>
      <c r="K34" s="160">
        <v>5458.5</v>
      </c>
      <c r="L34" s="160">
        <v>187.3</v>
      </c>
      <c r="M34" s="161">
        <v>259</v>
      </c>
      <c r="N34" s="162">
        <f t="shared" si="1"/>
        <v>334516.96000000002</v>
      </c>
      <c r="O34" s="160">
        <v>0</v>
      </c>
      <c r="P34" s="160"/>
      <c r="Q34" s="160"/>
      <c r="R34" s="160">
        <f>+'[12]Приложение № 4'!E29</f>
        <v>334516.96000000002</v>
      </c>
      <c r="S34" s="160"/>
      <c r="T34" s="160"/>
      <c r="U34" s="160">
        <f t="shared" ref="U34:V97" si="7">$N34/($K34+$L34)</f>
        <v>59.250586276524146</v>
      </c>
      <c r="V34" s="160">
        <f t="shared" si="7"/>
        <v>59.250586276524146</v>
      </c>
      <c r="W34" s="163" t="s">
        <v>495</v>
      </c>
      <c r="X34" s="156" t="e">
        <f>+N34-#REF!</f>
        <v>#REF!</v>
      </c>
      <c r="Y34" s="153">
        <v>2656130.35</v>
      </c>
      <c r="Z34" s="153">
        <f>+(K34*12.08+L34*20.47)*12</f>
        <v>837272.53200000012</v>
      </c>
      <c r="AB34" s="156" t="e">
        <f>+N34-#REF!</f>
        <v>#REF!</v>
      </c>
      <c r="AC34" s="164">
        <f>+N34-'[12]Приложение № 4'!E29</f>
        <v>0</v>
      </c>
      <c r="AE34" s="165" t="e">
        <f>+N34-#REF!</f>
        <v>#REF!</v>
      </c>
      <c r="AG34" s="3" t="s">
        <v>434</v>
      </c>
      <c r="AH34" s="4">
        <f t="shared" si="3"/>
        <v>496224.8799693216</v>
      </c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>
        <v>472224.8799693216</v>
      </c>
      <c r="AV34" s="4">
        <v>24000</v>
      </c>
      <c r="AW34" s="4"/>
      <c r="AZ34" s="156">
        <f>+N34-'Приложение №4'!E29</f>
        <v>0</v>
      </c>
    </row>
    <row r="35" spans="1:52" ht="15" x14ac:dyDescent="0.25">
      <c r="A35" s="157">
        <f t="shared" si="4"/>
        <v>18</v>
      </c>
      <c r="B35" s="158">
        <f t="shared" si="5"/>
        <v>18</v>
      </c>
      <c r="C35" s="158" t="s">
        <v>82</v>
      </c>
      <c r="D35" s="158" t="s">
        <v>435</v>
      </c>
      <c r="E35" s="159" t="s">
        <v>133</v>
      </c>
      <c r="F35" s="159"/>
      <c r="G35" s="159" t="s">
        <v>99</v>
      </c>
      <c r="H35" s="159" t="s">
        <v>97</v>
      </c>
      <c r="I35" s="159" t="s">
        <v>101</v>
      </c>
      <c r="J35" s="160">
        <v>6649.6</v>
      </c>
      <c r="K35" s="160">
        <v>5301.1</v>
      </c>
      <c r="L35" s="160">
        <v>281.3</v>
      </c>
      <c r="M35" s="161">
        <v>229</v>
      </c>
      <c r="N35" s="162">
        <f t="shared" si="1"/>
        <v>325945.57</v>
      </c>
      <c r="O35" s="160">
        <v>0</v>
      </c>
      <c r="P35" s="160"/>
      <c r="Q35" s="160"/>
      <c r="R35" s="160">
        <f>+'[12]Приложение № 4'!E30</f>
        <v>325945.57</v>
      </c>
      <c r="S35" s="160"/>
      <c r="T35" s="160"/>
      <c r="U35" s="160">
        <f t="shared" si="7"/>
        <v>58.388071438807678</v>
      </c>
      <c r="V35" s="160">
        <f t="shared" si="7"/>
        <v>58.388071438807678</v>
      </c>
      <c r="W35" s="163" t="s">
        <v>495</v>
      </c>
      <c r="X35" s="156" t="e">
        <f>+N35-#REF!</f>
        <v>#REF!</v>
      </c>
      <c r="Y35" s="153">
        <v>2723792.65</v>
      </c>
      <c r="Z35" s="153">
        <f>+(K35*12.08+L35*20.47)*12</f>
        <v>837545.98800000013</v>
      </c>
      <c r="AB35" s="156" t="e">
        <f>+N35-#REF!</f>
        <v>#REF!</v>
      </c>
      <c r="AC35" s="164">
        <f>+N35-'[12]Приложение № 4'!E30</f>
        <v>0</v>
      </c>
      <c r="AE35" s="165" t="e">
        <f>+N35-#REF!</f>
        <v>#REF!</v>
      </c>
      <c r="AG35" s="3" t="s">
        <v>435</v>
      </c>
      <c r="AH35" s="4">
        <f t="shared" si="3"/>
        <v>483189.75527594634</v>
      </c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>
        <v>459189.75527594634</v>
      </c>
      <c r="AV35" s="4">
        <v>24000</v>
      </c>
      <c r="AW35" s="4"/>
      <c r="AZ35" s="156">
        <f>+N35-'Приложение №4'!E30</f>
        <v>0</v>
      </c>
    </row>
    <row r="36" spans="1:52" ht="15" x14ac:dyDescent="0.25">
      <c r="A36" s="157">
        <f t="shared" si="4"/>
        <v>19</v>
      </c>
      <c r="B36" s="158">
        <f t="shared" si="5"/>
        <v>19</v>
      </c>
      <c r="C36" s="158" t="s">
        <v>82</v>
      </c>
      <c r="D36" s="158" t="s">
        <v>305</v>
      </c>
      <c r="E36" s="159" t="s">
        <v>113</v>
      </c>
      <c r="F36" s="159"/>
      <c r="G36" s="159" t="s">
        <v>99</v>
      </c>
      <c r="H36" s="159" t="s">
        <v>108</v>
      </c>
      <c r="I36" s="159" t="s">
        <v>101</v>
      </c>
      <c r="J36" s="160">
        <v>5023.3999999999996</v>
      </c>
      <c r="K36" s="160">
        <v>4316.8999999999996</v>
      </c>
      <c r="L36" s="160">
        <v>0</v>
      </c>
      <c r="M36" s="161">
        <v>187</v>
      </c>
      <c r="N36" s="162">
        <f t="shared" si="1"/>
        <v>608400.32000000007</v>
      </c>
      <c r="O36" s="160">
        <v>0</v>
      </c>
      <c r="P36" s="160"/>
      <c r="Q36" s="160"/>
      <c r="R36" s="160">
        <f>+'[12]Приложение № 4'!E31</f>
        <v>608400.32000000007</v>
      </c>
      <c r="S36" s="160"/>
      <c r="T36" s="160"/>
      <c r="U36" s="160">
        <f t="shared" si="7"/>
        <v>140.93454099006235</v>
      </c>
      <c r="V36" s="160">
        <f t="shared" si="7"/>
        <v>140.93454099006235</v>
      </c>
      <c r="W36" s="163" t="s">
        <v>495</v>
      </c>
      <c r="X36" s="156" t="e">
        <f>+N36-#REF!</f>
        <v>#REF!</v>
      </c>
      <c r="Y36" s="153">
        <v>1662043.25</v>
      </c>
      <c r="Z36" s="153">
        <f>+(K36*9.1+L36*18.19)*12</f>
        <v>471405.47999999992</v>
      </c>
      <c r="AB36" s="156" t="e">
        <f>+N36-#REF!</f>
        <v>#REF!</v>
      </c>
      <c r="AC36" s="164">
        <f>+N36-'[12]Приложение № 4'!E31</f>
        <v>0</v>
      </c>
      <c r="AE36" s="165" t="e">
        <f>+N36-#REF!</f>
        <v>#REF!</v>
      </c>
      <c r="AG36" s="3" t="s">
        <v>305</v>
      </c>
      <c r="AH36" s="4">
        <f t="shared" si="3"/>
        <v>410365.90445569198</v>
      </c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>
        <v>386365.90445569198</v>
      </c>
      <c r="AV36" s="4">
        <v>24000</v>
      </c>
      <c r="AW36" s="4"/>
      <c r="AZ36" s="156">
        <f>+N36-'Приложение №4'!E31</f>
        <v>0</v>
      </c>
    </row>
    <row r="37" spans="1:52" ht="15" x14ac:dyDescent="0.25">
      <c r="A37" s="122">
        <f t="shared" si="4"/>
        <v>20</v>
      </c>
      <c r="B37" s="62">
        <f t="shared" si="5"/>
        <v>20</v>
      </c>
      <c r="C37" s="62" t="s">
        <v>82</v>
      </c>
      <c r="D37" s="62" t="s">
        <v>307</v>
      </c>
      <c r="E37" s="123" t="s">
        <v>103</v>
      </c>
      <c r="F37" s="123"/>
      <c r="G37" s="123" t="s">
        <v>99</v>
      </c>
      <c r="H37" s="123" t="s">
        <v>482</v>
      </c>
      <c r="I37" s="123" t="s">
        <v>102</v>
      </c>
      <c r="J37" s="64">
        <v>3265.2</v>
      </c>
      <c r="K37" s="64">
        <v>2805.8</v>
      </c>
      <c r="L37" s="64">
        <v>0</v>
      </c>
      <c r="M37" s="124">
        <v>90</v>
      </c>
      <c r="N37" s="95">
        <f t="shared" si="1"/>
        <v>322133.13</v>
      </c>
      <c r="O37" s="64">
        <v>0</v>
      </c>
      <c r="P37" s="64"/>
      <c r="Q37" s="64"/>
      <c r="R37" s="64">
        <f>+'[12]Приложение № 4'!E32</f>
        <v>322133.13</v>
      </c>
      <c r="S37" s="64"/>
      <c r="T37" s="64"/>
      <c r="U37" s="64">
        <f t="shared" si="7"/>
        <v>114.80972628127449</v>
      </c>
      <c r="V37" s="64">
        <f t="shared" si="7"/>
        <v>114.80972628127449</v>
      </c>
      <c r="W37" s="163" t="s">
        <v>495</v>
      </c>
      <c r="X37" s="156" t="e">
        <f>+N37-#REF!</f>
        <v>#REF!</v>
      </c>
      <c r="Y37" s="153">
        <v>1370901.56</v>
      </c>
      <c r="Z37" s="153">
        <f t="shared" ref="Z37:Z44" si="8">+(K37*12.08+L37*20.47)*12</f>
        <v>406728.76800000004</v>
      </c>
      <c r="AB37" s="156" t="e">
        <f>+N37-#REF!</f>
        <v>#REF!</v>
      </c>
      <c r="AC37" s="164">
        <f>+N37-'[12]Приложение № 4'!E32</f>
        <v>0</v>
      </c>
      <c r="AE37" s="165" t="e">
        <f>+N37-#REF!</f>
        <v>#REF!</v>
      </c>
      <c r="AG37" s="3" t="s">
        <v>307</v>
      </c>
      <c r="AH37" s="4">
        <f t="shared" si="3"/>
        <v>383312.63474307745</v>
      </c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>
        <v>359312.63474307745</v>
      </c>
      <c r="AV37" s="4">
        <v>24000</v>
      </c>
      <c r="AW37" s="4"/>
      <c r="AZ37" s="156">
        <f>+N37-'Приложение №4'!E32</f>
        <v>0</v>
      </c>
    </row>
    <row r="38" spans="1:52" ht="15" x14ac:dyDescent="0.25">
      <c r="A38" s="122">
        <f t="shared" si="4"/>
        <v>21</v>
      </c>
      <c r="B38" s="62">
        <f t="shared" si="5"/>
        <v>21</v>
      </c>
      <c r="C38" s="62" t="s">
        <v>82</v>
      </c>
      <c r="D38" s="62" t="s">
        <v>436</v>
      </c>
      <c r="E38" s="123" t="s">
        <v>104</v>
      </c>
      <c r="F38" s="123"/>
      <c r="G38" s="123" t="s">
        <v>99</v>
      </c>
      <c r="H38" s="123" t="s">
        <v>482</v>
      </c>
      <c r="I38" s="123" t="s">
        <v>101</v>
      </c>
      <c r="J38" s="64">
        <v>9593.2999999999993</v>
      </c>
      <c r="K38" s="64">
        <v>8243.6</v>
      </c>
      <c r="L38" s="64">
        <v>0</v>
      </c>
      <c r="M38" s="124">
        <v>290</v>
      </c>
      <c r="N38" s="95">
        <f t="shared" si="1"/>
        <v>496837.23</v>
      </c>
      <c r="O38" s="64">
        <v>0</v>
      </c>
      <c r="P38" s="64"/>
      <c r="Q38" s="64"/>
      <c r="R38" s="64">
        <f>+'[12]Приложение № 4'!E33</f>
        <v>496837.23</v>
      </c>
      <c r="S38" s="64"/>
      <c r="T38" s="64"/>
      <c r="U38" s="64">
        <f t="shared" si="7"/>
        <v>60.269449027124068</v>
      </c>
      <c r="V38" s="64">
        <f t="shared" si="7"/>
        <v>60.269449027124068</v>
      </c>
      <c r="W38" s="163" t="s">
        <v>495</v>
      </c>
      <c r="X38" s="156" t="e">
        <f>+N38-#REF!</f>
        <v>#REF!</v>
      </c>
      <c r="Y38" s="153">
        <v>3906341.09</v>
      </c>
      <c r="Z38" s="153">
        <f t="shared" si="8"/>
        <v>1194992.2560000001</v>
      </c>
      <c r="AB38" s="156" t="e">
        <f>+N38-#REF!</f>
        <v>#REF!</v>
      </c>
      <c r="AC38" s="164">
        <f>+N38-'[12]Приложение № 4'!E33</f>
        <v>0</v>
      </c>
      <c r="AE38" s="165" t="e">
        <f>+N38-#REF!</f>
        <v>#REF!</v>
      </c>
      <c r="AG38" s="3" t="s">
        <v>436</v>
      </c>
      <c r="AH38" s="4">
        <f t="shared" si="3"/>
        <v>743076.66620197112</v>
      </c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>
        <v>719076.66620197112</v>
      </c>
      <c r="AV38" s="4">
        <v>24000</v>
      </c>
      <c r="AW38" s="4"/>
      <c r="AZ38" s="156">
        <f>+N38-'Приложение №4'!E33</f>
        <v>0</v>
      </c>
    </row>
    <row r="39" spans="1:52" ht="15" x14ac:dyDescent="0.25">
      <c r="A39" s="122">
        <f t="shared" si="4"/>
        <v>22</v>
      </c>
      <c r="B39" s="62">
        <f t="shared" si="5"/>
        <v>22</v>
      </c>
      <c r="C39" s="62" t="s">
        <v>82</v>
      </c>
      <c r="D39" s="62" t="s">
        <v>308</v>
      </c>
      <c r="E39" s="123" t="s">
        <v>106</v>
      </c>
      <c r="F39" s="123"/>
      <c r="G39" s="123" t="s">
        <v>99</v>
      </c>
      <c r="H39" s="123" t="s">
        <v>97</v>
      </c>
      <c r="I39" s="123" t="s">
        <v>101</v>
      </c>
      <c r="J39" s="64">
        <v>13553.2</v>
      </c>
      <c r="K39" s="64">
        <v>11571</v>
      </c>
      <c r="L39" s="64">
        <v>0</v>
      </c>
      <c r="M39" s="124">
        <v>416</v>
      </c>
      <c r="N39" s="95">
        <f t="shared" si="1"/>
        <v>552243.46</v>
      </c>
      <c r="O39" s="64">
        <v>0</v>
      </c>
      <c r="P39" s="64"/>
      <c r="Q39" s="64"/>
      <c r="R39" s="64">
        <f>+'[12]Приложение № 4'!E34</f>
        <v>552243.46</v>
      </c>
      <c r="S39" s="64"/>
      <c r="T39" s="64"/>
      <c r="U39" s="64">
        <f t="shared" si="7"/>
        <v>47.72651110534958</v>
      </c>
      <c r="V39" s="64">
        <f t="shared" si="7"/>
        <v>47.72651110534958</v>
      </c>
      <c r="W39" s="163" t="s">
        <v>495</v>
      </c>
      <c r="X39" s="156" t="e">
        <f>+N39-#REF!</f>
        <v>#REF!</v>
      </c>
      <c r="Y39" s="153">
        <v>5489876.0499999998</v>
      </c>
      <c r="Z39" s="153">
        <f t="shared" si="8"/>
        <v>1677332.16</v>
      </c>
      <c r="AB39" s="156" t="e">
        <f>+N39-#REF!</f>
        <v>#REF!</v>
      </c>
      <c r="AC39" s="164">
        <f>+N39-'[12]Приложение № 4'!E34</f>
        <v>0</v>
      </c>
      <c r="AE39" s="165" t="e">
        <f>+N39-#REF!</f>
        <v>#REF!</v>
      </c>
      <c r="AG39" s="3" t="s">
        <v>308</v>
      </c>
      <c r="AH39" s="4">
        <f t="shared" ref="AH39:AH66" si="9">SUM(AI39:AW39)</f>
        <v>827336.78174493031</v>
      </c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>
        <v>803336.78174493031</v>
      </c>
      <c r="AV39" s="4">
        <v>24000</v>
      </c>
      <c r="AW39" s="4"/>
      <c r="AZ39" s="156">
        <f>+N39-'Приложение №4'!E34</f>
        <v>0</v>
      </c>
    </row>
    <row r="40" spans="1:52" ht="15" x14ac:dyDescent="0.25">
      <c r="A40" s="122">
        <f t="shared" si="4"/>
        <v>23</v>
      </c>
      <c r="B40" s="62">
        <f t="shared" si="5"/>
        <v>23</v>
      </c>
      <c r="C40" s="62" t="s">
        <v>82</v>
      </c>
      <c r="D40" s="62" t="s">
        <v>437</v>
      </c>
      <c r="E40" s="123" t="s">
        <v>104</v>
      </c>
      <c r="F40" s="123"/>
      <c r="G40" s="123" t="s">
        <v>99</v>
      </c>
      <c r="H40" s="123" t="s">
        <v>97</v>
      </c>
      <c r="I40" s="123" t="s">
        <v>98</v>
      </c>
      <c r="J40" s="64">
        <v>9044.7000000000007</v>
      </c>
      <c r="K40" s="64">
        <v>7767.9</v>
      </c>
      <c r="L40" s="64">
        <v>0</v>
      </c>
      <c r="M40" s="124">
        <v>294</v>
      </c>
      <c r="N40" s="95">
        <f t="shared" si="1"/>
        <v>834540.31</v>
      </c>
      <c r="O40" s="64">
        <v>0</v>
      </c>
      <c r="P40" s="64"/>
      <c r="Q40" s="64"/>
      <c r="R40" s="64">
        <f>+'[12]Приложение № 4'!E35</f>
        <v>834540.31</v>
      </c>
      <c r="S40" s="64"/>
      <c r="T40" s="64"/>
      <c r="U40" s="64">
        <f t="shared" si="7"/>
        <v>107.43448164883689</v>
      </c>
      <c r="V40" s="64">
        <f t="shared" si="7"/>
        <v>107.43448164883689</v>
      </c>
      <c r="W40" s="163" t="s">
        <v>495</v>
      </c>
      <c r="X40" s="156" t="e">
        <f>+N40-#REF!</f>
        <v>#REF!</v>
      </c>
      <c r="Y40" s="153">
        <v>3648251.51</v>
      </c>
      <c r="Z40" s="153">
        <f t="shared" si="8"/>
        <v>1126034.784</v>
      </c>
      <c r="AB40" s="156" t="e">
        <f>+N40-#REF!</f>
        <v>#REF!</v>
      </c>
      <c r="AC40" s="164">
        <f>+N40-'[12]Приложение № 4'!E35</f>
        <v>0</v>
      </c>
      <c r="AE40" s="165" t="e">
        <f>+N40-#REF!</f>
        <v>#REF!</v>
      </c>
      <c r="AG40" s="3" t="s">
        <v>437</v>
      </c>
      <c r="AH40" s="4">
        <f t="shared" si="9"/>
        <v>1256645.3571896467</v>
      </c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>
        <v>1232645.3571896467</v>
      </c>
      <c r="AV40" s="4">
        <v>24000</v>
      </c>
      <c r="AW40" s="4"/>
      <c r="AZ40" s="156">
        <f>+N40-'Приложение №4'!E35</f>
        <v>0</v>
      </c>
    </row>
    <row r="41" spans="1:52" ht="15" x14ac:dyDescent="0.25">
      <c r="A41" s="122">
        <f t="shared" si="4"/>
        <v>24</v>
      </c>
      <c r="B41" s="62">
        <f t="shared" si="5"/>
        <v>24</v>
      </c>
      <c r="C41" s="62" t="s">
        <v>82</v>
      </c>
      <c r="D41" s="62" t="s">
        <v>438</v>
      </c>
      <c r="E41" s="123" t="s">
        <v>104</v>
      </c>
      <c r="F41" s="123"/>
      <c r="G41" s="123" t="s">
        <v>99</v>
      </c>
      <c r="H41" s="123" t="s">
        <v>97</v>
      </c>
      <c r="I41" s="123" t="s">
        <v>102</v>
      </c>
      <c r="J41" s="64">
        <v>4527.8</v>
      </c>
      <c r="K41" s="64">
        <v>3877.5</v>
      </c>
      <c r="L41" s="64">
        <v>0</v>
      </c>
      <c r="M41" s="124">
        <v>153</v>
      </c>
      <c r="N41" s="95">
        <f t="shared" si="1"/>
        <v>678517.30999999994</v>
      </c>
      <c r="O41" s="64">
        <v>0</v>
      </c>
      <c r="P41" s="64"/>
      <c r="Q41" s="64"/>
      <c r="R41" s="64">
        <f>+'[12]Приложение № 4'!E36</f>
        <v>678517.30999999994</v>
      </c>
      <c r="S41" s="64"/>
      <c r="T41" s="64"/>
      <c r="U41" s="64">
        <f t="shared" si="7"/>
        <v>174.98834558349449</v>
      </c>
      <c r="V41" s="64">
        <f t="shared" si="7"/>
        <v>174.98834558349449</v>
      </c>
      <c r="W41" s="163" t="s">
        <v>495</v>
      </c>
      <c r="X41" s="156" t="e">
        <f>+N41-#REF!</f>
        <v>#REF!</v>
      </c>
      <c r="Y41" s="153">
        <v>1916087.69</v>
      </c>
      <c r="Z41" s="153">
        <f t="shared" si="8"/>
        <v>562082.39999999991</v>
      </c>
      <c r="AB41" s="156" t="e">
        <f>+N41-#REF!</f>
        <v>#REF!</v>
      </c>
      <c r="AC41" s="164">
        <f>+N41-'[12]Приложение № 4'!E36</f>
        <v>0</v>
      </c>
      <c r="AE41" s="165" t="e">
        <f>+N41-#REF!</f>
        <v>#REF!</v>
      </c>
      <c r="AG41" s="3" t="s">
        <v>438</v>
      </c>
      <c r="AH41" s="4">
        <f t="shared" si="9"/>
        <v>1019370.2632514824</v>
      </c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>
        <v>995370.26325148239</v>
      </c>
      <c r="AV41" s="4">
        <v>24000</v>
      </c>
      <c r="AW41" s="4"/>
      <c r="AZ41" s="156">
        <f>+N41-'Приложение №4'!E36</f>
        <v>0</v>
      </c>
    </row>
    <row r="42" spans="1:52" ht="15" x14ac:dyDescent="0.25">
      <c r="A42" s="122">
        <f t="shared" si="4"/>
        <v>25</v>
      </c>
      <c r="B42" s="62">
        <f t="shared" si="5"/>
        <v>25</v>
      </c>
      <c r="C42" s="62" t="s">
        <v>82</v>
      </c>
      <c r="D42" s="62" t="s">
        <v>439</v>
      </c>
      <c r="E42" s="123" t="s">
        <v>104</v>
      </c>
      <c r="F42" s="123"/>
      <c r="G42" s="123" t="s">
        <v>99</v>
      </c>
      <c r="H42" s="123" t="s">
        <v>482</v>
      </c>
      <c r="I42" s="123" t="s">
        <v>102</v>
      </c>
      <c r="J42" s="64">
        <v>3562.9</v>
      </c>
      <c r="K42" s="64">
        <v>3046.6</v>
      </c>
      <c r="L42" s="64">
        <v>0</v>
      </c>
      <c r="M42" s="124">
        <v>121</v>
      </c>
      <c r="N42" s="95">
        <f t="shared" si="1"/>
        <v>626355.59000000008</v>
      </c>
      <c r="O42" s="64">
        <v>0</v>
      </c>
      <c r="P42" s="64"/>
      <c r="Q42" s="64"/>
      <c r="R42" s="64">
        <f>+'[12]Приложение № 4'!E37</f>
        <v>626355.59000000008</v>
      </c>
      <c r="S42" s="64"/>
      <c r="T42" s="64"/>
      <c r="U42" s="64">
        <f t="shared" si="7"/>
        <v>205.59167268430386</v>
      </c>
      <c r="V42" s="64">
        <f t="shared" si="7"/>
        <v>205.59167268430386</v>
      </c>
      <c r="W42" s="163" t="s">
        <v>495</v>
      </c>
      <c r="X42" s="156" t="e">
        <f>+N42-#REF!</f>
        <v>#REF!</v>
      </c>
      <c r="Y42" s="153">
        <v>1385251.12</v>
      </c>
      <c r="Z42" s="153">
        <f t="shared" si="8"/>
        <v>441635.136</v>
      </c>
      <c r="AB42" s="156" t="e">
        <f>+N42-#REF!</f>
        <v>#REF!</v>
      </c>
      <c r="AC42" s="164">
        <f>+N42-'[12]Приложение № 4'!E37</f>
        <v>0</v>
      </c>
      <c r="AE42" s="165" t="e">
        <f>+N42-#REF!</f>
        <v>#REF!</v>
      </c>
      <c r="AG42" s="3" t="s">
        <v>439</v>
      </c>
      <c r="AH42" s="4">
        <f t="shared" si="9"/>
        <v>940044.28066750464</v>
      </c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>
        <v>916044.28066750464</v>
      </c>
      <c r="AV42" s="4">
        <v>24000</v>
      </c>
      <c r="AW42" s="4"/>
      <c r="AZ42" s="156">
        <f>+N42-'Приложение №4'!E37</f>
        <v>0</v>
      </c>
    </row>
    <row r="43" spans="1:52" ht="15" x14ac:dyDescent="0.25">
      <c r="A43" s="122">
        <f t="shared" si="4"/>
        <v>26</v>
      </c>
      <c r="B43" s="62">
        <f t="shared" si="5"/>
        <v>26</v>
      </c>
      <c r="C43" s="62" t="s">
        <v>82</v>
      </c>
      <c r="D43" s="62" t="s">
        <v>440</v>
      </c>
      <c r="E43" s="123" t="s">
        <v>104</v>
      </c>
      <c r="F43" s="123"/>
      <c r="G43" s="123" t="s">
        <v>99</v>
      </c>
      <c r="H43" s="123" t="s">
        <v>97</v>
      </c>
      <c r="I43" s="123" t="s">
        <v>102</v>
      </c>
      <c r="J43" s="64">
        <v>3197.5</v>
      </c>
      <c r="K43" s="64">
        <v>2618.1999999999998</v>
      </c>
      <c r="L43" s="64">
        <v>120.6</v>
      </c>
      <c r="M43" s="124">
        <v>94</v>
      </c>
      <c r="N43" s="95">
        <f t="shared" si="1"/>
        <v>612556.79</v>
      </c>
      <c r="O43" s="64">
        <v>0</v>
      </c>
      <c r="P43" s="64"/>
      <c r="Q43" s="64"/>
      <c r="R43" s="64">
        <f>+'[12]Приложение № 4'!E38</f>
        <v>612556.79</v>
      </c>
      <c r="S43" s="64"/>
      <c r="T43" s="64"/>
      <c r="U43" s="64">
        <f t="shared" si="7"/>
        <v>223.65882503286113</v>
      </c>
      <c r="V43" s="64">
        <f t="shared" si="7"/>
        <v>223.65882503286113</v>
      </c>
      <c r="W43" s="163" t="s">
        <v>495</v>
      </c>
      <c r="X43" s="156" t="e">
        <f>+N43-#REF!</f>
        <v>#REF!</v>
      </c>
      <c r="Y43" s="153">
        <v>1315755.6200000001</v>
      </c>
      <c r="Z43" s="153">
        <f t="shared" si="8"/>
        <v>409158.45600000001</v>
      </c>
      <c r="AB43" s="156" t="e">
        <f>+N43-#REF!</f>
        <v>#REF!</v>
      </c>
      <c r="AC43" s="164">
        <f>+N43-'[12]Приложение № 4'!E38</f>
        <v>0</v>
      </c>
      <c r="AE43" s="165" t="e">
        <f>+N43-#REF!</f>
        <v>#REF!</v>
      </c>
      <c r="AG43" s="3" t="s">
        <v>440</v>
      </c>
      <c r="AH43" s="4">
        <f t="shared" si="9"/>
        <v>919059.48544901842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>
        <v>895059.48544901842</v>
      </c>
      <c r="AV43" s="4">
        <v>24000</v>
      </c>
      <c r="AW43" s="4"/>
      <c r="AZ43" s="156">
        <f>+N43-'Приложение №4'!E38</f>
        <v>0</v>
      </c>
    </row>
    <row r="44" spans="1:52" ht="15" x14ac:dyDescent="0.25">
      <c r="A44" s="122">
        <f t="shared" si="4"/>
        <v>27</v>
      </c>
      <c r="B44" s="62">
        <f t="shared" si="5"/>
        <v>27</v>
      </c>
      <c r="C44" s="62" t="s">
        <v>82</v>
      </c>
      <c r="D44" s="62" t="s">
        <v>441</v>
      </c>
      <c r="E44" s="123" t="s">
        <v>104</v>
      </c>
      <c r="F44" s="123"/>
      <c r="G44" s="123" t="s">
        <v>99</v>
      </c>
      <c r="H44" s="123" t="s">
        <v>97</v>
      </c>
      <c r="I44" s="123" t="s">
        <v>102</v>
      </c>
      <c r="J44" s="64">
        <v>3238.8</v>
      </c>
      <c r="K44" s="64">
        <v>2708.2</v>
      </c>
      <c r="L44" s="64">
        <v>76</v>
      </c>
      <c r="M44" s="124">
        <v>79</v>
      </c>
      <c r="N44" s="95">
        <f t="shared" si="1"/>
        <v>613418.62000000011</v>
      </c>
      <c r="O44" s="64">
        <v>0</v>
      </c>
      <c r="P44" s="64"/>
      <c r="Q44" s="64"/>
      <c r="R44" s="64">
        <f>+'[12]Приложение № 4'!E39</f>
        <v>613418.62000000011</v>
      </c>
      <c r="S44" s="64"/>
      <c r="T44" s="64"/>
      <c r="U44" s="64">
        <f t="shared" si="7"/>
        <v>220.32132030744924</v>
      </c>
      <c r="V44" s="64">
        <f t="shared" si="7"/>
        <v>220.32132030744924</v>
      </c>
      <c r="W44" s="163" t="s">
        <v>495</v>
      </c>
      <c r="X44" s="156" t="e">
        <f>+N44-#REF!</f>
        <v>#REF!</v>
      </c>
      <c r="Y44" s="153">
        <v>1358531.55</v>
      </c>
      <c r="Z44" s="153">
        <f t="shared" si="8"/>
        <v>411249.31199999998</v>
      </c>
      <c r="AB44" s="156" t="e">
        <f>+N44-#REF!</f>
        <v>#REF!</v>
      </c>
      <c r="AC44" s="164">
        <f>+N44-'[12]Приложение № 4'!E39</f>
        <v>0</v>
      </c>
      <c r="AE44" s="165" t="e">
        <f>+N44-#REF!</f>
        <v>#REF!</v>
      </c>
      <c r="AG44" s="3" t="s">
        <v>441</v>
      </c>
      <c r="AH44" s="4">
        <f t="shared" si="9"/>
        <v>920370.13497879356</v>
      </c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>
        <v>896370.13497879356</v>
      </c>
      <c r="AV44" s="4">
        <v>24000</v>
      </c>
      <c r="AW44" s="4"/>
      <c r="AZ44" s="156">
        <f>+N44-'Приложение №4'!E39</f>
        <v>0</v>
      </c>
    </row>
    <row r="45" spans="1:52" ht="15" x14ac:dyDescent="0.25">
      <c r="A45" s="122">
        <f t="shared" si="4"/>
        <v>28</v>
      </c>
      <c r="B45" s="62">
        <f t="shared" si="5"/>
        <v>28</v>
      </c>
      <c r="C45" s="62" t="s">
        <v>82</v>
      </c>
      <c r="D45" s="62" t="s">
        <v>442</v>
      </c>
      <c r="E45" s="123" t="s">
        <v>104</v>
      </c>
      <c r="F45" s="123"/>
      <c r="G45" s="123" t="s">
        <v>96</v>
      </c>
      <c r="H45" s="123" t="s">
        <v>108</v>
      </c>
      <c r="I45" s="123" t="s">
        <v>109</v>
      </c>
      <c r="J45" s="64">
        <v>5268.8</v>
      </c>
      <c r="K45" s="64">
        <v>4705.6000000000004</v>
      </c>
      <c r="L45" s="64">
        <v>0</v>
      </c>
      <c r="M45" s="124">
        <v>224</v>
      </c>
      <c r="N45" s="95">
        <f t="shared" si="1"/>
        <v>254259.8</v>
      </c>
      <c r="O45" s="64">
        <v>0</v>
      </c>
      <c r="P45" s="64"/>
      <c r="Q45" s="64"/>
      <c r="R45" s="64">
        <f>+'[12]Приложение № 4'!E40</f>
        <v>254259.8</v>
      </c>
      <c r="S45" s="64"/>
      <c r="T45" s="64"/>
      <c r="U45" s="64">
        <f t="shared" si="7"/>
        <v>54.033449506970413</v>
      </c>
      <c r="V45" s="64">
        <f t="shared" si="7"/>
        <v>54.033449506970413</v>
      </c>
      <c r="W45" s="163" t="s">
        <v>495</v>
      </c>
      <c r="X45" s="156" t="e">
        <f>+N45-#REF!</f>
        <v>#REF!</v>
      </c>
      <c r="Y45" s="153">
        <v>1825750.75</v>
      </c>
      <c r="Z45" s="153">
        <f>+(K45*9.1+L45*18.19)*12</f>
        <v>513851.52</v>
      </c>
      <c r="AB45" s="156" t="e">
        <f>+N45-#REF!</f>
        <v>#REF!</v>
      </c>
      <c r="AC45" s="164">
        <f>+N45-'[12]Приложение № 4'!E40</f>
        <v>0</v>
      </c>
      <c r="AE45" s="165" t="e">
        <f>+N45-#REF!</f>
        <v>#REF!</v>
      </c>
      <c r="AG45" s="3" t="s">
        <v>442</v>
      </c>
      <c r="AH45" s="4">
        <f t="shared" si="9"/>
        <v>374172.17796748457</v>
      </c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>
        <v>350172.17796748457</v>
      </c>
      <c r="AV45" s="4">
        <v>24000</v>
      </c>
      <c r="AW45" s="4"/>
      <c r="AZ45" s="156">
        <f>+N45-'Приложение №4'!E40</f>
        <v>0</v>
      </c>
    </row>
    <row r="46" spans="1:52" ht="15" x14ac:dyDescent="0.25">
      <c r="A46" s="122">
        <f t="shared" si="4"/>
        <v>29</v>
      </c>
      <c r="B46" s="62">
        <f t="shared" si="5"/>
        <v>29</v>
      </c>
      <c r="C46" s="62" t="s">
        <v>82</v>
      </c>
      <c r="D46" s="62" t="s">
        <v>443</v>
      </c>
      <c r="E46" s="123" t="s">
        <v>106</v>
      </c>
      <c r="F46" s="123"/>
      <c r="G46" s="123" t="s">
        <v>99</v>
      </c>
      <c r="H46" s="123" t="s">
        <v>108</v>
      </c>
      <c r="I46" s="123" t="s">
        <v>109</v>
      </c>
      <c r="J46" s="64">
        <v>5087.1000000000004</v>
      </c>
      <c r="K46" s="64">
        <v>4518.8999999999996</v>
      </c>
      <c r="L46" s="64">
        <v>0</v>
      </c>
      <c r="M46" s="124">
        <v>189</v>
      </c>
      <c r="N46" s="95">
        <f t="shared" si="1"/>
        <v>228321.53</v>
      </c>
      <c r="O46" s="64">
        <v>0</v>
      </c>
      <c r="P46" s="64"/>
      <c r="Q46" s="64"/>
      <c r="R46" s="64">
        <f>+'[12]Приложение № 4'!E41</f>
        <v>228321.53</v>
      </c>
      <c r="S46" s="64"/>
      <c r="T46" s="64"/>
      <c r="U46" s="64">
        <f t="shared" si="7"/>
        <v>50.525908960145173</v>
      </c>
      <c r="V46" s="64">
        <f t="shared" si="7"/>
        <v>50.525908960145173</v>
      </c>
      <c r="W46" s="163" t="s">
        <v>495</v>
      </c>
      <c r="X46" s="156" t="e">
        <f>+N46-#REF!</f>
        <v>#REF!</v>
      </c>
      <c r="Y46" s="153">
        <v>1699082.53</v>
      </c>
      <c r="Z46" s="153">
        <f>+(K46*9.1+L46*18.19)*12</f>
        <v>493463.88</v>
      </c>
      <c r="AB46" s="156" t="e">
        <f>+N46-#REF!</f>
        <v>#REF!</v>
      </c>
      <c r="AC46" s="164">
        <f>+N46-'[12]Приложение № 4'!E41</f>
        <v>0</v>
      </c>
      <c r="AE46" s="165" t="e">
        <f>+N46-#REF!</f>
        <v>#REF!</v>
      </c>
      <c r="AG46" s="3" t="s">
        <v>443</v>
      </c>
      <c r="AH46" s="4">
        <f t="shared" si="9"/>
        <v>334726.03514419816</v>
      </c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>
        <v>310726.03514419816</v>
      </c>
      <c r="AV46" s="4">
        <v>24000</v>
      </c>
      <c r="AW46" s="4"/>
      <c r="AZ46" s="156">
        <f>+N46-'Приложение №4'!E41</f>
        <v>0</v>
      </c>
    </row>
    <row r="47" spans="1:52" ht="15" x14ac:dyDescent="0.25">
      <c r="A47" s="122">
        <f t="shared" si="4"/>
        <v>30</v>
      </c>
      <c r="B47" s="62">
        <f t="shared" si="5"/>
        <v>30</v>
      </c>
      <c r="C47" s="62" t="s">
        <v>82</v>
      </c>
      <c r="D47" s="62" t="s">
        <v>444</v>
      </c>
      <c r="E47" s="123" t="s">
        <v>103</v>
      </c>
      <c r="F47" s="123"/>
      <c r="G47" s="123" t="s">
        <v>99</v>
      </c>
      <c r="H47" s="123" t="s">
        <v>482</v>
      </c>
      <c r="I47" s="123" t="s">
        <v>102</v>
      </c>
      <c r="J47" s="64">
        <v>3182.1</v>
      </c>
      <c r="K47" s="64">
        <v>2454.1999999999998</v>
      </c>
      <c r="L47" s="64">
        <v>310</v>
      </c>
      <c r="M47" s="124">
        <v>81</v>
      </c>
      <c r="N47" s="95">
        <f t="shared" si="1"/>
        <v>322420.25</v>
      </c>
      <c r="O47" s="64">
        <v>0</v>
      </c>
      <c r="P47" s="64"/>
      <c r="Q47" s="64"/>
      <c r="R47" s="64">
        <f>+'[12]Приложение № 4'!E42</f>
        <v>322420.25</v>
      </c>
      <c r="S47" s="64"/>
      <c r="T47" s="64"/>
      <c r="U47" s="64">
        <f t="shared" si="7"/>
        <v>116.64143332609797</v>
      </c>
      <c r="V47" s="64">
        <f t="shared" si="7"/>
        <v>116.64143332609797</v>
      </c>
      <c r="W47" s="163" t="s">
        <v>495</v>
      </c>
      <c r="X47" s="156" t="e">
        <f>+N47-#REF!</f>
        <v>#REF!</v>
      </c>
      <c r="Y47" s="153">
        <v>1434672.41</v>
      </c>
      <c r="Z47" s="153">
        <f>+(K47*12.08+L47*20.47)*12</f>
        <v>431909.23199999996</v>
      </c>
      <c r="AB47" s="156" t="e">
        <f>+N47-#REF!</f>
        <v>#REF!</v>
      </c>
      <c r="AC47" s="164">
        <f>+N47-'[12]Приложение № 4'!E42</f>
        <v>0</v>
      </c>
      <c r="AE47" s="165" t="e">
        <f>+N47-#REF!</f>
        <v>#REF!</v>
      </c>
      <c r="AG47" s="3" t="s">
        <v>444</v>
      </c>
      <c r="AH47" s="4">
        <f t="shared" si="9"/>
        <v>383641.06412034098</v>
      </c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>
        <v>359641.06412034098</v>
      </c>
      <c r="AV47" s="4">
        <v>24000</v>
      </c>
      <c r="AW47" s="4"/>
      <c r="AZ47" s="156">
        <f>+N47-'Приложение №4'!E42</f>
        <v>0</v>
      </c>
    </row>
    <row r="48" spans="1:52" ht="15" x14ac:dyDescent="0.25">
      <c r="A48" s="122">
        <f t="shared" si="4"/>
        <v>31</v>
      </c>
      <c r="B48" s="62">
        <f t="shared" si="5"/>
        <v>31</v>
      </c>
      <c r="C48" s="62" t="s">
        <v>82</v>
      </c>
      <c r="D48" s="62" t="s">
        <v>445</v>
      </c>
      <c r="E48" s="123" t="s">
        <v>104</v>
      </c>
      <c r="F48" s="123"/>
      <c r="G48" s="123" t="s">
        <v>99</v>
      </c>
      <c r="H48" s="123" t="s">
        <v>108</v>
      </c>
      <c r="I48" s="123" t="s">
        <v>100</v>
      </c>
      <c r="J48" s="64">
        <v>7467.3</v>
      </c>
      <c r="K48" s="64">
        <v>6613.1</v>
      </c>
      <c r="L48" s="64">
        <v>0</v>
      </c>
      <c r="M48" s="124">
        <v>290</v>
      </c>
      <c r="N48" s="95">
        <f t="shared" si="1"/>
        <v>269093.41000000003</v>
      </c>
      <c r="O48" s="64">
        <v>0</v>
      </c>
      <c r="P48" s="64"/>
      <c r="Q48" s="64"/>
      <c r="R48" s="64">
        <f>+'[12]Приложение № 4'!E43</f>
        <v>269093.41000000003</v>
      </c>
      <c r="S48" s="64"/>
      <c r="T48" s="64"/>
      <c r="U48" s="64">
        <f t="shared" si="7"/>
        <v>40.690963390845447</v>
      </c>
      <c r="V48" s="64">
        <f t="shared" si="7"/>
        <v>40.690963390845447</v>
      </c>
      <c r="W48" s="163" t="s">
        <v>495</v>
      </c>
      <c r="X48" s="156" t="e">
        <f>+N48-#REF!</f>
        <v>#REF!</v>
      </c>
      <c r="Y48" s="153">
        <v>2578359.2000000002</v>
      </c>
      <c r="Z48" s="153">
        <f>+(K48*9.1+L48*18.19)*12</f>
        <v>722150.52</v>
      </c>
      <c r="AB48" s="156" t="e">
        <f>+N48-#REF!</f>
        <v>#REF!</v>
      </c>
      <c r="AC48" s="164">
        <f>+N48-'[12]Приложение № 4'!E43</f>
        <v>0</v>
      </c>
      <c r="AE48" s="165" t="e">
        <f>+N48-#REF!</f>
        <v>#REF!</v>
      </c>
      <c r="AG48" s="3" t="s">
        <v>445</v>
      </c>
      <c r="AH48" s="4">
        <f t="shared" si="9"/>
        <v>396730.69498411118</v>
      </c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>
        <v>372730.69498411118</v>
      </c>
      <c r="AV48" s="4">
        <v>24000</v>
      </c>
      <c r="AW48" s="4"/>
      <c r="AZ48" s="156">
        <f>+N48-'Приложение №4'!E43</f>
        <v>0</v>
      </c>
    </row>
    <row r="49" spans="1:52" ht="15" x14ac:dyDescent="0.25">
      <c r="A49" s="122">
        <f t="shared" si="4"/>
        <v>32</v>
      </c>
      <c r="B49" s="62">
        <f t="shared" si="5"/>
        <v>32</v>
      </c>
      <c r="C49" s="62" t="s">
        <v>82</v>
      </c>
      <c r="D49" s="62" t="s">
        <v>446</v>
      </c>
      <c r="E49" s="123" t="s">
        <v>107</v>
      </c>
      <c r="F49" s="123"/>
      <c r="G49" s="123" t="s">
        <v>99</v>
      </c>
      <c r="H49" s="123" t="s">
        <v>108</v>
      </c>
      <c r="I49" s="123" t="s">
        <v>100</v>
      </c>
      <c r="J49" s="64">
        <v>7532.7</v>
      </c>
      <c r="K49" s="64">
        <v>6522.5</v>
      </c>
      <c r="L49" s="64">
        <v>98.2</v>
      </c>
      <c r="M49" s="124">
        <v>288</v>
      </c>
      <c r="N49" s="95">
        <f t="shared" si="1"/>
        <v>268599.84999999998</v>
      </c>
      <c r="O49" s="64">
        <v>0</v>
      </c>
      <c r="P49" s="64"/>
      <c r="Q49" s="64"/>
      <c r="R49" s="64">
        <f>+'[12]Приложение № 4'!E44</f>
        <v>268599.84999999998</v>
      </c>
      <c r="S49" s="64"/>
      <c r="T49" s="64"/>
      <c r="U49" s="64">
        <f t="shared" si="7"/>
        <v>40.569705620251632</v>
      </c>
      <c r="V49" s="64">
        <f t="shared" si="7"/>
        <v>40.569705620251632</v>
      </c>
      <c r="W49" s="163" t="s">
        <v>495</v>
      </c>
      <c r="X49" s="156" t="e">
        <f>+N49-#REF!</f>
        <v>#REF!</v>
      </c>
      <c r="Y49" s="153">
        <v>2523906.23</v>
      </c>
      <c r="Z49" s="153">
        <f>+(K49*9.1+L49*18.19)*12</f>
        <v>733692.09600000002</v>
      </c>
      <c r="AB49" s="156" t="e">
        <f>+N49-#REF!</f>
        <v>#REF!</v>
      </c>
      <c r="AC49" s="164">
        <f>+N49-'[12]Приложение № 4'!E44</f>
        <v>0</v>
      </c>
      <c r="AE49" s="165" t="e">
        <f>+N49-#REF!</f>
        <v>#REF!</v>
      </c>
      <c r="AG49" s="3" t="s">
        <v>446</v>
      </c>
      <c r="AH49" s="4">
        <f t="shared" si="9"/>
        <v>395980.09815077024</v>
      </c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>
        <v>371980.09815077024</v>
      </c>
      <c r="AV49" s="4">
        <v>24000</v>
      </c>
      <c r="AW49" s="4"/>
      <c r="AZ49" s="156">
        <f>+N49-'Приложение №4'!E44</f>
        <v>0</v>
      </c>
    </row>
    <row r="50" spans="1:52" ht="15" x14ac:dyDescent="0.25">
      <c r="A50" s="122">
        <f t="shared" si="4"/>
        <v>33</v>
      </c>
      <c r="B50" s="62">
        <f t="shared" si="5"/>
        <v>33</v>
      </c>
      <c r="C50" s="62" t="s">
        <v>82</v>
      </c>
      <c r="D50" s="62" t="s">
        <v>311</v>
      </c>
      <c r="E50" s="123" t="s">
        <v>513</v>
      </c>
      <c r="F50" s="123"/>
      <c r="G50" s="123" t="s">
        <v>99</v>
      </c>
      <c r="H50" s="123" t="s">
        <v>108</v>
      </c>
      <c r="I50" s="123" t="s">
        <v>109</v>
      </c>
      <c r="J50" s="64">
        <v>5344.1</v>
      </c>
      <c r="K50" s="64">
        <v>4623.3</v>
      </c>
      <c r="L50" s="64">
        <v>0</v>
      </c>
      <c r="M50" s="124">
        <v>188</v>
      </c>
      <c r="N50" s="95">
        <f t="shared" si="1"/>
        <v>863995.04</v>
      </c>
      <c r="O50" s="64">
        <v>0</v>
      </c>
      <c r="P50" s="64"/>
      <c r="Q50" s="64"/>
      <c r="R50" s="64">
        <f>+'[12]Приложение № 4'!E45</f>
        <v>863995.04</v>
      </c>
      <c r="S50" s="64"/>
      <c r="T50" s="64"/>
      <c r="U50" s="64">
        <f t="shared" si="7"/>
        <v>186.87842882789349</v>
      </c>
      <c r="V50" s="64">
        <f t="shared" si="7"/>
        <v>186.87842882789349</v>
      </c>
      <c r="W50" s="163" t="s">
        <v>495</v>
      </c>
      <c r="X50" s="156" t="e">
        <f>+N50-#REF!</f>
        <v>#REF!</v>
      </c>
      <c r="Y50" s="153">
        <v>1814364.3</v>
      </c>
      <c r="Z50" s="153">
        <f>+(K50*9.1+L50*18.19)*12</f>
        <v>504864.36</v>
      </c>
      <c r="AB50" s="156" t="e">
        <f>+N50-#REF!</f>
        <v>#REF!</v>
      </c>
      <c r="AC50" s="164">
        <f>+N50-'[12]Приложение № 4'!E45</f>
        <v>0</v>
      </c>
      <c r="AE50" s="165" t="e">
        <f>+N50-#REF!</f>
        <v>#REF!</v>
      </c>
      <c r="AG50" s="3" t="s">
        <v>311</v>
      </c>
      <c r="AH50" s="4">
        <f t="shared" si="9"/>
        <v>734239.64915665868</v>
      </c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>
        <v>710239.64915665868</v>
      </c>
      <c r="AV50" s="4">
        <v>24000</v>
      </c>
      <c r="AW50" s="4"/>
      <c r="AZ50" s="156">
        <f>+N50-'Приложение №4'!E45</f>
        <v>0</v>
      </c>
    </row>
    <row r="51" spans="1:52" ht="15" x14ac:dyDescent="0.25">
      <c r="A51" s="122">
        <f t="shared" si="4"/>
        <v>34</v>
      </c>
      <c r="B51" s="62">
        <f t="shared" si="5"/>
        <v>34</v>
      </c>
      <c r="C51" s="62" t="s">
        <v>82</v>
      </c>
      <c r="D51" s="62" t="s">
        <v>447</v>
      </c>
      <c r="E51" s="123" t="s">
        <v>103</v>
      </c>
      <c r="F51" s="123"/>
      <c r="G51" s="123" t="s">
        <v>99</v>
      </c>
      <c r="H51" s="123" t="s">
        <v>482</v>
      </c>
      <c r="I51" s="123" t="s">
        <v>102</v>
      </c>
      <c r="J51" s="64">
        <v>3200.9</v>
      </c>
      <c r="K51" s="64">
        <v>2754.1</v>
      </c>
      <c r="L51" s="64">
        <v>0</v>
      </c>
      <c r="M51" s="124">
        <v>107</v>
      </c>
      <c r="N51" s="95">
        <f t="shared" si="1"/>
        <v>322757.76000000001</v>
      </c>
      <c r="O51" s="64">
        <v>0</v>
      </c>
      <c r="P51" s="64"/>
      <c r="Q51" s="64"/>
      <c r="R51" s="64">
        <f>+'[12]Приложение № 4'!E46</f>
        <v>322757.76000000001</v>
      </c>
      <c r="S51" s="64"/>
      <c r="T51" s="64"/>
      <c r="U51" s="64">
        <f t="shared" si="7"/>
        <v>117.19173595730004</v>
      </c>
      <c r="V51" s="64">
        <f t="shared" si="7"/>
        <v>117.19173595730004</v>
      </c>
      <c r="W51" s="163" t="s">
        <v>495</v>
      </c>
      <c r="X51" s="156" t="e">
        <f>+N51-#REF!</f>
        <v>#REF!</v>
      </c>
      <c r="Y51" s="153">
        <v>1264991.58</v>
      </c>
      <c r="Z51" s="153">
        <f>+(K51*12.08+L51*20.47)*12</f>
        <v>399234.33600000001</v>
      </c>
      <c r="AB51" s="156" t="e">
        <f>+N51-#REF!</f>
        <v>#REF!</v>
      </c>
      <c r="AC51" s="164">
        <f>+N51-'[12]Приложение № 4'!E46</f>
        <v>0</v>
      </c>
      <c r="AE51" s="165" t="e">
        <f>+N51-#REF!</f>
        <v>#REF!</v>
      </c>
      <c r="AG51" s="3" t="s">
        <v>447</v>
      </c>
      <c r="AH51" s="4">
        <f t="shared" si="9"/>
        <v>384027.11268659809</v>
      </c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>
        <v>360027.11268659809</v>
      </c>
      <c r="AV51" s="4">
        <v>24000</v>
      </c>
      <c r="AW51" s="4"/>
      <c r="AZ51" s="156">
        <f>+N51-'Приложение №4'!E46</f>
        <v>0</v>
      </c>
    </row>
    <row r="52" spans="1:52" ht="15" x14ac:dyDescent="0.25">
      <c r="A52" s="122">
        <f t="shared" si="4"/>
        <v>35</v>
      </c>
      <c r="B52" s="62">
        <f t="shared" si="5"/>
        <v>35</v>
      </c>
      <c r="C52" s="62" t="s">
        <v>82</v>
      </c>
      <c r="D52" s="62" t="s">
        <v>448</v>
      </c>
      <c r="E52" s="123" t="s">
        <v>139</v>
      </c>
      <c r="F52" s="123"/>
      <c r="G52" s="123" t="s">
        <v>99</v>
      </c>
      <c r="H52" s="123" t="s">
        <v>108</v>
      </c>
      <c r="I52" s="123" t="s">
        <v>105</v>
      </c>
      <c r="J52" s="64">
        <v>3396.9</v>
      </c>
      <c r="K52" s="64">
        <v>3059.1</v>
      </c>
      <c r="L52" s="64">
        <v>0</v>
      </c>
      <c r="M52" s="124">
        <v>122</v>
      </c>
      <c r="N52" s="95">
        <f t="shared" si="1"/>
        <v>332755.06</v>
      </c>
      <c r="O52" s="64">
        <v>0</v>
      </c>
      <c r="P52" s="64"/>
      <c r="Q52" s="64"/>
      <c r="R52" s="64">
        <f>+'[12]Приложение № 4'!E47</f>
        <v>332755.06</v>
      </c>
      <c r="S52" s="64"/>
      <c r="T52" s="64"/>
      <c r="U52" s="64">
        <f t="shared" si="7"/>
        <v>108.77547644732111</v>
      </c>
      <c r="V52" s="64">
        <f t="shared" si="7"/>
        <v>108.77547644732111</v>
      </c>
      <c r="W52" s="163" t="s">
        <v>495</v>
      </c>
      <c r="X52" s="156" t="e">
        <f>+N52-#REF!</f>
        <v>#REF!</v>
      </c>
      <c r="Y52" s="153">
        <v>1167789.29</v>
      </c>
      <c r="Z52" s="153">
        <f>+(K52*9.1+L52*18.19)*12</f>
        <v>334053.71999999997</v>
      </c>
      <c r="AB52" s="156" t="e">
        <f>+N52-#REF!</f>
        <v>#REF!</v>
      </c>
      <c r="AC52" s="164">
        <f>+N52-'[12]Приложение № 4'!E47</f>
        <v>0</v>
      </c>
      <c r="AE52" s="165" t="e">
        <f>+N52-#REF!</f>
        <v>#REF!</v>
      </c>
      <c r="AG52" s="3" t="s">
        <v>448</v>
      </c>
      <c r="AH52" s="4">
        <f t="shared" si="9"/>
        <v>395462.26771667204</v>
      </c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>
        <v>371462.26771667204</v>
      </c>
      <c r="AV52" s="4">
        <v>24000</v>
      </c>
      <c r="AW52" s="4"/>
      <c r="AZ52" s="156">
        <f>+N52-'Приложение №4'!E47</f>
        <v>0</v>
      </c>
    </row>
    <row r="53" spans="1:52" ht="15" x14ac:dyDescent="0.25">
      <c r="A53" s="122">
        <f t="shared" si="4"/>
        <v>36</v>
      </c>
      <c r="B53" s="62">
        <f t="shared" si="5"/>
        <v>36</v>
      </c>
      <c r="C53" s="62" t="s">
        <v>82</v>
      </c>
      <c r="D53" s="62" t="s">
        <v>449</v>
      </c>
      <c r="E53" s="123" t="s">
        <v>519</v>
      </c>
      <c r="F53" s="123"/>
      <c r="G53" s="123" t="s">
        <v>96</v>
      </c>
      <c r="H53" s="123" t="s">
        <v>108</v>
      </c>
      <c r="I53" s="123" t="s">
        <v>101</v>
      </c>
      <c r="J53" s="64">
        <v>6034.1</v>
      </c>
      <c r="K53" s="64">
        <v>2163</v>
      </c>
      <c r="L53" s="64">
        <v>1007</v>
      </c>
      <c r="M53" s="124">
        <v>162</v>
      </c>
      <c r="N53" s="95">
        <f t="shared" si="1"/>
        <v>998050.20000000019</v>
      </c>
      <c r="O53" s="64">
        <v>0</v>
      </c>
      <c r="P53" s="64"/>
      <c r="Q53" s="64"/>
      <c r="R53" s="64">
        <f>+'[12]Приложение № 4'!E48</f>
        <v>998050.20000000019</v>
      </c>
      <c r="S53" s="64"/>
      <c r="T53" s="64"/>
      <c r="U53" s="64">
        <f t="shared" si="7"/>
        <v>314.84233438485808</v>
      </c>
      <c r="V53" s="64">
        <f t="shared" si="7"/>
        <v>314.84233438485808</v>
      </c>
      <c r="W53" s="163" t="s">
        <v>495</v>
      </c>
      <c r="X53" s="156" t="e">
        <f>+N53-#REF!</f>
        <v>#REF!</v>
      </c>
      <c r="Y53" s="153">
        <v>2908145.37</v>
      </c>
      <c r="Z53" s="153">
        <f>+(K53*9.1+L53*18.19)*12</f>
        <v>456007.56000000006</v>
      </c>
      <c r="AB53" s="156" t="e">
        <f>+N53-#REF!</f>
        <v>#REF!</v>
      </c>
      <c r="AC53" s="164">
        <f>+N53-'[12]Приложение № 4'!E48</f>
        <v>0</v>
      </c>
      <c r="AE53" s="165" t="e">
        <f>+N53-#REF!</f>
        <v>#REF!</v>
      </c>
      <c r="AG53" s="3" t="s">
        <v>449</v>
      </c>
      <c r="AH53" s="4">
        <f t="shared" si="9"/>
        <v>1154154.3904688042</v>
      </c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>
        <v>1130154.3904688042</v>
      </c>
      <c r="AV53" s="4">
        <v>24000</v>
      </c>
      <c r="AW53" s="4"/>
      <c r="AZ53" s="156">
        <f>+N53-'Приложение №4'!E48</f>
        <v>0</v>
      </c>
    </row>
    <row r="54" spans="1:52" ht="15" x14ac:dyDescent="0.25">
      <c r="A54" s="122">
        <f t="shared" si="4"/>
        <v>37</v>
      </c>
      <c r="B54" s="62">
        <f t="shared" si="5"/>
        <v>37</v>
      </c>
      <c r="C54" s="62" t="s">
        <v>82</v>
      </c>
      <c r="D54" s="62" t="s">
        <v>450</v>
      </c>
      <c r="E54" s="123" t="s">
        <v>135</v>
      </c>
      <c r="F54" s="123"/>
      <c r="G54" s="123" t="s">
        <v>99</v>
      </c>
      <c r="H54" s="123" t="s">
        <v>482</v>
      </c>
      <c r="I54" s="123" t="s">
        <v>102</v>
      </c>
      <c r="J54" s="64">
        <v>3164.1</v>
      </c>
      <c r="K54" s="64">
        <v>2676.9</v>
      </c>
      <c r="L54" s="64">
        <v>0</v>
      </c>
      <c r="M54" s="124">
        <v>107</v>
      </c>
      <c r="N54" s="95">
        <f t="shared" si="1"/>
        <v>460868.39999999997</v>
      </c>
      <c r="O54" s="64">
        <v>0</v>
      </c>
      <c r="P54" s="64"/>
      <c r="Q54" s="64"/>
      <c r="R54" s="64">
        <f>+'[12]Приложение № 4'!E49</f>
        <v>460868.39999999997</v>
      </c>
      <c r="S54" s="64"/>
      <c r="T54" s="64"/>
      <c r="U54" s="64">
        <f t="shared" si="7"/>
        <v>172.16496693937015</v>
      </c>
      <c r="V54" s="64">
        <f t="shared" si="7"/>
        <v>172.16496693937015</v>
      </c>
      <c r="W54" s="163" t="s">
        <v>495</v>
      </c>
      <c r="X54" s="156" t="e">
        <f>+N54-#REF!</f>
        <v>#REF!</v>
      </c>
      <c r="Y54" s="153">
        <v>1698612.75</v>
      </c>
      <c r="Z54" s="153">
        <f>+(K54*12.08+L54*20.47)*12</f>
        <v>388043.424</v>
      </c>
      <c r="AB54" s="156" t="e">
        <f>+N54-#REF!</f>
        <v>#REF!</v>
      </c>
      <c r="AC54" s="164">
        <f>+N54-'[12]Приложение № 4'!E49</f>
        <v>0</v>
      </c>
      <c r="AE54" s="165" t="e">
        <f>+N54-#REF!</f>
        <v>#REF!</v>
      </c>
      <c r="AG54" s="3" t="s">
        <v>450</v>
      </c>
      <c r="AH54" s="4">
        <f t="shared" si="9"/>
        <v>542001.21405781503</v>
      </c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>
        <v>518001.21405781497</v>
      </c>
      <c r="AV54" s="4">
        <v>24000</v>
      </c>
      <c r="AW54" s="4"/>
      <c r="AZ54" s="156">
        <f>+N54-'Приложение №4'!E49</f>
        <v>0</v>
      </c>
    </row>
    <row r="55" spans="1:52" ht="15" x14ac:dyDescent="0.25">
      <c r="A55" s="122">
        <f t="shared" si="4"/>
        <v>38</v>
      </c>
      <c r="B55" s="62">
        <f t="shared" si="5"/>
        <v>38</v>
      </c>
      <c r="C55" s="62" t="s">
        <v>82</v>
      </c>
      <c r="D55" s="62" t="s">
        <v>451</v>
      </c>
      <c r="E55" s="123" t="s">
        <v>139</v>
      </c>
      <c r="F55" s="123"/>
      <c r="G55" s="123" t="s">
        <v>99</v>
      </c>
      <c r="H55" s="123" t="s">
        <v>97</v>
      </c>
      <c r="I55" s="123" t="s">
        <v>102</v>
      </c>
      <c r="J55" s="64">
        <v>3153</v>
      </c>
      <c r="K55" s="64">
        <v>2676.1</v>
      </c>
      <c r="L55" s="64">
        <v>0</v>
      </c>
      <c r="M55" s="124">
        <v>93</v>
      </c>
      <c r="N55" s="95">
        <f t="shared" si="1"/>
        <v>796517.34</v>
      </c>
      <c r="O55" s="64">
        <v>0</v>
      </c>
      <c r="P55" s="64"/>
      <c r="Q55" s="64"/>
      <c r="R55" s="64">
        <f>+'[12]Приложение № 4'!E50</f>
        <v>796517.34</v>
      </c>
      <c r="S55" s="64"/>
      <c r="T55" s="64"/>
      <c r="U55" s="64">
        <f t="shared" si="7"/>
        <v>297.64109711894173</v>
      </c>
      <c r="V55" s="64">
        <f t="shared" si="7"/>
        <v>297.64109711894173</v>
      </c>
      <c r="W55" s="163" t="s">
        <v>495</v>
      </c>
      <c r="X55" s="156" t="e">
        <f>+N55-#REF!</f>
        <v>#REF!</v>
      </c>
      <c r="Y55" s="153">
        <v>1210064.42</v>
      </c>
      <c r="Z55" s="153">
        <f>+(K55*12.08+L55*20.47)*12</f>
        <v>387927.45600000001</v>
      </c>
      <c r="AB55" s="156" t="e">
        <f>+N55-#REF!</f>
        <v>#REF!</v>
      </c>
      <c r="AC55" s="164">
        <f>+N55-'[12]Приложение № 4'!E50</f>
        <v>0</v>
      </c>
      <c r="AE55" s="165" t="e">
        <f>+N55-#REF!</f>
        <v>#REF!</v>
      </c>
      <c r="AG55" s="3" t="s">
        <v>451</v>
      </c>
      <c r="AH55" s="4">
        <f t="shared" si="9"/>
        <v>923636.49442104623</v>
      </c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>
        <v>899636.49442104623</v>
      </c>
      <c r="AV55" s="4">
        <v>24000</v>
      </c>
      <c r="AW55" s="4"/>
      <c r="AZ55" s="156">
        <f>+N55-'Приложение №4'!E50</f>
        <v>0</v>
      </c>
    </row>
    <row r="56" spans="1:52" ht="15" x14ac:dyDescent="0.25">
      <c r="A56" s="122">
        <f t="shared" si="4"/>
        <v>39</v>
      </c>
      <c r="B56" s="62">
        <f t="shared" si="5"/>
        <v>39</v>
      </c>
      <c r="C56" s="62" t="s">
        <v>82</v>
      </c>
      <c r="D56" s="62" t="s">
        <v>452</v>
      </c>
      <c r="E56" s="123" t="s">
        <v>139</v>
      </c>
      <c r="F56" s="123"/>
      <c r="G56" s="123" t="s">
        <v>99</v>
      </c>
      <c r="H56" s="123" t="s">
        <v>97</v>
      </c>
      <c r="I56" s="123" t="s">
        <v>102</v>
      </c>
      <c r="J56" s="64">
        <v>3135.1</v>
      </c>
      <c r="K56" s="64">
        <v>2676.8</v>
      </c>
      <c r="L56" s="64">
        <v>0</v>
      </c>
      <c r="M56" s="124">
        <v>109</v>
      </c>
      <c r="N56" s="95">
        <f t="shared" si="1"/>
        <v>382753.72860983951</v>
      </c>
      <c r="O56" s="64">
        <v>0</v>
      </c>
      <c r="P56" s="64"/>
      <c r="Q56" s="64"/>
      <c r="R56" s="64">
        <f>+'[12]Приложение № 4'!E51</f>
        <v>382753.72860983951</v>
      </c>
      <c r="S56" s="64"/>
      <c r="T56" s="64"/>
      <c r="U56" s="64">
        <f t="shared" si="7"/>
        <v>142.98928893075293</v>
      </c>
      <c r="V56" s="64">
        <f t="shared" si="7"/>
        <v>142.98928893075293</v>
      </c>
      <c r="W56" s="163" t="s">
        <v>495</v>
      </c>
      <c r="X56" s="156" t="e">
        <f>+N56-#REF!</f>
        <v>#REF!</v>
      </c>
      <c r="Y56" s="153">
        <v>1209236.6100000001</v>
      </c>
      <c r="Z56" s="153">
        <f>+(K56*12.08+L56*20.47)*12</f>
        <v>388028.92800000001</v>
      </c>
      <c r="AB56" s="156" t="e">
        <f>+N56-#REF!</f>
        <v>#REF!</v>
      </c>
      <c r="AC56" s="164">
        <f>+N56-'[12]Приложение № 4'!E51</f>
        <v>0</v>
      </c>
      <c r="AE56" s="165" t="e">
        <f>+N56-#REF!</f>
        <v>#REF!</v>
      </c>
      <c r="AG56" s="3" t="s">
        <v>452</v>
      </c>
      <c r="AH56" s="4">
        <f t="shared" si="9"/>
        <v>382753.72860983951</v>
      </c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>
        <v>358753.72860983951</v>
      </c>
      <c r="AV56" s="4">
        <v>24000</v>
      </c>
      <c r="AW56" s="4"/>
      <c r="AZ56" s="156">
        <f>+N56-'Приложение №4'!E51</f>
        <v>0</v>
      </c>
    </row>
    <row r="57" spans="1:52" ht="15" x14ac:dyDescent="0.25">
      <c r="A57" s="122">
        <f t="shared" si="4"/>
        <v>40</v>
      </c>
      <c r="B57" s="62">
        <f t="shared" si="5"/>
        <v>40</v>
      </c>
      <c r="C57" s="62" t="s">
        <v>82</v>
      </c>
      <c r="D57" s="62" t="s">
        <v>323</v>
      </c>
      <c r="E57" s="123" t="s">
        <v>139</v>
      </c>
      <c r="F57" s="123"/>
      <c r="G57" s="123" t="s">
        <v>99</v>
      </c>
      <c r="H57" s="123" t="s">
        <v>108</v>
      </c>
      <c r="I57" s="123" t="s">
        <v>100</v>
      </c>
      <c r="J57" s="64">
        <v>10054.6</v>
      </c>
      <c r="K57" s="64">
        <v>8397.7999999999993</v>
      </c>
      <c r="L57" s="64">
        <v>68.7</v>
      </c>
      <c r="M57" s="124">
        <v>330</v>
      </c>
      <c r="N57" s="95">
        <f t="shared" si="1"/>
        <v>1418184.5214474853</v>
      </c>
      <c r="O57" s="64">
        <v>0</v>
      </c>
      <c r="P57" s="64"/>
      <c r="Q57" s="64"/>
      <c r="R57" s="64">
        <f>+'[12]Приложение № 4'!E52</f>
        <v>1418184.5214474853</v>
      </c>
      <c r="S57" s="64"/>
      <c r="T57" s="64"/>
      <c r="U57" s="64">
        <f t="shared" si="7"/>
        <v>167.50540618289557</v>
      </c>
      <c r="V57" s="64">
        <f t="shared" si="7"/>
        <v>167.50540618289557</v>
      </c>
      <c r="W57" s="163" t="s">
        <v>495</v>
      </c>
      <c r="X57" s="156" t="e">
        <f>+N57-#REF!</f>
        <v>#REF!</v>
      </c>
      <c r="Y57" s="153">
        <v>3349325.94</v>
      </c>
      <c r="Z57" s="153">
        <f>+(K57*9.1+L57*18.19)*12</f>
        <v>932035.59600000002</v>
      </c>
      <c r="AB57" s="156" t="e">
        <f>+N57-#REF!</f>
        <v>#REF!</v>
      </c>
      <c r="AC57" s="164">
        <f>+N57-'[12]Приложение № 4'!E52</f>
        <v>0</v>
      </c>
      <c r="AE57" s="165" t="e">
        <f>+N57-#REF!</f>
        <v>#REF!</v>
      </c>
      <c r="AG57" s="3" t="s">
        <v>323</v>
      </c>
      <c r="AH57" s="4">
        <f t="shared" si="9"/>
        <v>598666.47144748538</v>
      </c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>
        <v>574666.47144748538</v>
      </c>
      <c r="AV57" s="4">
        <v>24000</v>
      </c>
      <c r="AW57" s="4"/>
      <c r="AZ57" s="156">
        <f>+N57-'Приложение №4'!E52</f>
        <v>0</v>
      </c>
    </row>
    <row r="58" spans="1:52" ht="15" x14ac:dyDescent="0.25">
      <c r="A58" s="122">
        <f t="shared" si="4"/>
        <v>41</v>
      </c>
      <c r="B58" s="62">
        <f t="shared" si="5"/>
        <v>41</v>
      </c>
      <c r="C58" s="62" t="s">
        <v>82</v>
      </c>
      <c r="D58" s="62" t="s">
        <v>453</v>
      </c>
      <c r="E58" s="123" t="s">
        <v>519</v>
      </c>
      <c r="F58" s="123"/>
      <c r="G58" s="123" t="s">
        <v>96</v>
      </c>
      <c r="H58" s="123" t="s">
        <v>105</v>
      </c>
      <c r="I58" s="123" t="s">
        <v>101</v>
      </c>
      <c r="J58" s="64">
        <v>5014.2</v>
      </c>
      <c r="K58" s="64">
        <v>3323.4</v>
      </c>
      <c r="L58" s="64">
        <v>753.6</v>
      </c>
      <c r="M58" s="124">
        <v>153</v>
      </c>
      <c r="N58" s="95">
        <f t="shared" si="1"/>
        <v>706531.21580926236</v>
      </c>
      <c r="O58" s="64">
        <v>0</v>
      </c>
      <c r="P58" s="64"/>
      <c r="Q58" s="64"/>
      <c r="R58" s="64">
        <f>+'[12]Приложение № 4'!E53</f>
        <v>706531.21580926236</v>
      </c>
      <c r="S58" s="64"/>
      <c r="T58" s="64"/>
      <c r="U58" s="64">
        <f t="shared" si="7"/>
        <v>173.29683978642686</v>
      </c>
      <c r="V58" s="64">
        <f t="shared" si="7"/>
        <v>173.29683978642686</v>
      </c>
      <c r="W58" s="163" t="s">
        <v>495</v>
      </c>
      <c r="X58" s="156" t="e">
        <f>+N58-#REF!</f>
        <v>#REF!</v>
      </c>
      <c r="Y58" s="153">
        <v>1841760.66</v>
      </c>
      <c r="Z58" s="153">
        <f>+(K58*9.1+L58*18.19)*12</f>
        <v>527411.08799999999</v>
      </c>
      <c r="AB58" s="156" t="e">
        <f>+N58-#REF!</f>
        <v>#REF!</v>
      </c>
      <c r="AC58" s="164">
        <f>+N58-'[12]Приложение № 4'!E53</f>
        <v>0</v>
      </c>
      <c r="AE58" s="165" t="e">
        <f>+N58-#REF!</f>
        <v>#REF!</v>
      </c>
      <c r="AG58" s="3" t="s">
        <v>453</v>
      </c>
      <c r="AH58" s="4">
        <f t="shared" si="9"/>
        <v>706531.21580926236</v>
      </c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>
        <v>682531.21580926236</v>
      </c>
      <c r="AV58" s="4">
        <v>24000</v>
      </c>
      <c r="AW58" s="4"/>
      <c r="AZ58" s="156">
        <f>+N58-'Приложение №4'!E53</f>
        <v>0</v>
      </c>
    </row>
    <row r="59" spans="1:52" ht="15" x14ac:dyDescent="0.25">
      <c r="A59" s="122">
        <f t="shared" si="4"/>
        <v>42</v>
      </c>
      <c r="B59" s="62">
        <f t="shared" si="5"/>
        <v>42</v>
      </c>
      <c r="C59" s="62" t="s">
        <v>82</v>
      </c>
      <c r="D59" s="62" t="s">
        <v>454</v>
      </c>
      <c r="E59" s="123" t="s">
        <v>139</v>
      </c>
      <c r="F59" s="123"/>
      <c r="G59" s="123" t="s">
        <v>99</v>
      </c>
      <c r="H59" s="123" t="s">
        <v>108</v>
      </c>
      <c r="I59" s="123" t="s">
        <v>105</v>
      </c>
      <c r="J59" s="64">
        <v>5735.9</v>
      </c>
      <c r="K59" s="64">
        <v>4521.8999999999996</v>
      </c>
      <c r="L59" s="64">
        <v>320</v>
      </c>
      <c r="M59" s="124">
        <v>186</v>
      </c>
      <c r="N59" s="95">
        <f t="shared" si="1"/>
        <v>469117.85018307797</v>
      </c>
      <c r="O59" s="64">
        <v>0</v>
      </c>
      <c r="P59" s="64"/>
      <c r="Q59" s="64"/>
      <c r="R59" s="64">
        <f>+'[12]Приложение № 4'!E54</f>
        <v>469117.85018307797</v>
      </c>
      <c r="S59" s="64"/>
      <c r="T59" s="64"/>
      <c r="U59" s="64">
        <f t="shared" si="7"/>
        <v>96.887141449240588</v>
      </c>
      <c r="V59" s="64">
        <f t="shared" si="7"/>
        <v>96.887141449240588</v>
      </c>
      <c r="W59" s="163" t="s">
        <v>495</v>
      </c>
      <c r="X59" s="156" t="e">
        <f>+N59-#REF!</f>
        <v>#REF!</v>
      </c>
      <c r="Y59" s="153">
        <v>1955361.97</v>
      </c>
      <c r="Z59" s="153">
        <f>+(K59*9.1+L59*18.19)*12</f>
        <v>563641.07999999996</v>
      </c>
      <c r="AB59" s="156" t="e">
        <f>+N59-#REF!</f>
        <v>#REF!</v>
      </c>
      <c r="AC59" s="164">
        <f>+N59-'[12]Приложение № 4'!E54</f>
        <v>0</v>
      </c>
      <c r="AE59" s="165" t="e">
        <f>+N59-#REF!</f>
        <v>#REF!</v>
      </c>
      <c r="AG59" s="3" t="s">
        <v>454</v>
      </c>
      <c r="AH59" s="4">
        <f t="shared" si="9"/>
        <v>469117.85018307797</v>
      </c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>
        <v>445117.85018307797</v>
      </c>
      <c r="AV59" s="4">
        <v>24000</v>
      </c>
      <c r="AW59" s="4"/>
      <c r="AZ59" s="156">
        <f>+N59-'Приложение №4'!E54</f>
        <v>0</v>
      </c>
    </row>
    <row r="60" spans="1:52" ht="15" x14ac:dyDescent="0.25">
      <c r="A60" s="122">
        <f t="shared" si="4"/>
        <v>43</v>
      </c>
      <c r="B60" s="62">
        <f t="shared" si="5"/>
        <v>43</v>
      </c>
      <c r="C60" s="62" t="s">
        <v>82</v>
      </c>
      <c r="D60" s="62" t="s">
        <v>326</v>
      </c>
      <c r="E60" s="123" t="s">
        <v>111</v>
      </c>
      <c r="F60" s="123"/>
      <c r="G60" s="123" t="s">
        <v>99</v>
      </c>
      <c r="H60" s="123" t="s">
        <v>108</v>
      </c>
      <c r="I60" s="123" t="s">
        <v>101</v>
      </c>
      <c r="J60" s="64">
        <v>5096.3999999999996</v>
      </c>
      <c r="K60" s="64">
        <v>4071.7</v>
      </c>
      <c r="L60" s="64">
        <v>242.7</v>
      </c>
      <c r="M60" s="124">
        <v>191</v>
      </c>
      <c r="N60" s="95">
        <f t="shared" si="1"/>
        <v>1383529.4714977562</v>
      </c>
      <c r="O60" s="64">
        <v>0</v>
      </c>
      <c r="P60" s="64"/>
      <c r="Q60" s="64"/>
      <c r="R60" s="64">
        <f>+'[12]Приложение № 4'!E55</f>
        <v>1383529.4714977562</v>
      </c>
      <c r="S60" s="64"/>
      <c r="T60" s="64"/>
      <c r="U60" s="64">
        <f t="shared" si="7"/>
        <v>320.67714433009371</v>
      </c>
      <c r="V60" s="64">
        <f t="shared" si="7"/>
        <v>320.67714433009371</v>
      </c>
      <c r="W60" s="163" t="s">
        <v>495</v>
      </c>
      <c r="X60" s="156" t="e">
        <f>+N60-#REF!</f>
        <v>#REF!</v>
      </c>
      <c r="Y60" s="153">
        <v>1771474.95</v>
      </c>
      <c r="Z60" s="153">
        <f>+(K60*9.1+L60*18.19)*12</f>
        <v>497606.19599999988</v>
      </c>
      <c r="AB60" s="156" t="e">
        <f>+N60-#REF!</f>
        <v>#REF!</v>
      </c>
      <c r="AC60" s="164">
        <f>+N60-'[12]Приложение № 4'!E55</f>
        <v>0</v>
      </c>
      <c r="AE60" s="165" t="e">
        <f>+N60-#REF!</f>
        <v>#REF!</v>
      </c>
      <c r="AG60" s="3" t="s">
        <v>326</v>
      </c>
      <c r="AH60" s="4">
        <f t="shared" si="9"/>
        <v>357977.02</v>
      </c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>
        <v>333977.02</v>
      </c>
      <c r="AV60" s="4">
        <v>24000</v>
      </c>
      <c r="AW60" s="4"/>
      <c r="AZ60" s="156">
        <f>+N60-'Приложение №4'!E55</f>
        <v>0</v>
      </c>
    </row>
    <row r="61" spans="1:52" ht="15" x14ac:dyDescent="0.25">
      <c r="A61" s="122">
        <f t="shared" si="4"/>
        <v>44</v>
      </c>
      <c r="B61" s="62">
        <f t="shared" si="5"/>
        <v>44</v>
      </c>
      <c r="C61" s="62" t="s">
        <v>82</v>
      </c>
      <c r="D61" s="62" t="s">
        <v>455</v>
      </c>
      <c r="E61" s="123" t="s">
        <v>106</v>
      </c>
      <c r="F61" s="123"/>
      <c r="G61" s="123" t="s">
        <v>99</v>
      </c>
      <c r="H61" s="123" t="s">
        <v>97</v>
      </c>
      <c r="I61" s="123" t="s">
        <v>98</v>
      </c>
      <c r="J61" s="64">
        <v>6450</v>
      </c>
      <c r="K61" s="64">
        <v>5553.9</v>
      </c>
      <c r="L61" s="64">
        <v>35.6</v>
      </c>
      <c r="M61" s="124">
        <v>215</v>
      </c>
      <c r="N61" s="95">
        <f t="shared" si="1"/>
        <v>450951.80070266448</v>
      </c>
      <c r="O61" s="64">
        <v>0</v>
      </c>
      <c r="P61" s="64"/>
      <c r="Q61" s="64"/>
      <c r="R61" s="64">
        <f>+'[12]Приложение № 4'!E56</f>
        <v>450951.80070266448</v>
      </c>
      <c r="S61" s="64"/>
      <c r="T61" s="64"/>
      <c r="U61" s="64">
        <f t="shared" si="7"/>
        <v>80.678379229388042</v>
      </c>
      <c r="V61" s="64">
        <f t="shared" si="7"/>
        <v>80.678379229388042</v>
      </c>
      <c r="W61" s="163" t="s">
        <v>495</v>
      </c>
      <c r="X61" s="156" t="e">
        <f>+N61-#REF!</f>
        <v>#REF!</v>
      </c>
      <c r="Y61" s="153">
        <v>2602107.5099999998</v>
      </c>
      <c r="Z61" s="153">
        <f>+(K61*12.08+L61*20.47)*12</f>
        <v>813838.12800000003</v>
      </c>
      <c r="AB61" s="156" t="e">
        <f>+N61-#REF!</f>
        <v>#REF!</v>
      </c>
      <c r="AC61" s="164">
        <f>+N61-'[12]Приложение № 4'!E56</f>
        <v>0</v>
      </c>
      <c r="AE61" s="165" t="e">
        <f>+N61-#REF!</f>
        <v>#REF!</v>
      </c>
      <c r="AG61" s="3" t="s">
        <v>455</v>
      </c>
      <c r="AH61" s="4">
        <f t="shared" si="9"/>
        <v>450951.80070266448</v>
      </c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>
        <v>426951.80070266448</v>
      </c>
      <c r="AV61" s="4">
        <v>24000</v>
      </c>
      <c r="AW61" s="4"/>
      <c r="AZ61" s="156">
        <f>+N61-'Приложение №4'!E56</f>
        <v>0</v>
      </c>
    </row>
    <row r="62" spans="1:52" ht="15" x14ac:dyDescent="0.25">
      <c r="A62" s="122">
        <f t="shared" si="4"/>
        <v>45</v>
      </c>
      <c r="B62" s="62">
        <f t="shared" si="5"/>
        <v>45</v>
      </c>
      <c r="C62" s="62" t="s">
        <v>82</v>
      </c>
      <c r="D62" s="62" t="s">
        <v>331</v>
      </c>
      <c r="E62" s="123" t="s">
        <v>106</v>
      </c>
      <c r="F62" s="123"/>
      <c r="G62" s="123" t="s">
        <v>96</v>
      </c>
      <c r="H62" s="123" t="s">
        <v>98</v>
      </c>
      <c r="I62" s="123" t="s">
        <v>100</v>
      </c>
      <c r="J62" s="64">
        <v>962.7</v>
      </c>
      <c r="K62" s="64">
        <v>962.7</v>
      </c>
      <c r="L62" s="64">
        <v>0</v>
      </c>
      <c r="M62" s="124">
        <v>42</v>
      </c>
      <c r="N62" s="95">
        <f t="shared" si="1"/>
        <v>427851.16874364635</v>
      </c>
      <c r="O62" s="64">
        <v>0</v>
      </c>
      <c r="P62" s="64"/>
      <c r="Q62" s="64"/>
      <c r="R62" s="64">
        <f>+'[12]Приложение № 4'!E57</f>
        <v>427851.16874364635</v>
      </c>
      <c r="S62" s="64"/>
      <c r="T62" s="64"/>
      <c r="U62" s="64">
        <f t="shared" si="7"/>
        <v>444.42834605136215</v>
      </c>
      <c r="V62" s="64">
        <f t="shared" si="7"/>
        <v>444.42834605136215</v>
      </c>
      <c r="W62" s="163" t="s">
        <v>495</v>
      </c>
      <c r="X62" s="156" t="e">
        <f>+N62-#REF!</f>
        <v>#REF!</v>
      </c>
      <c r="Y62" s="153">
        <v>386597.41</v>
      </c>
      <c r="Z62" s="153">
        <f>+(K62*9.1+L62*18.19)*12</f>
        <v>105126.84</v>
      </c>
      <c r="AB62" s="156" t="e">
        <f>+N62-#REF!</f>
        <v>#REF!</v>
      </c>
      <c r="AC62" s="164">
        <f>+N62-'[12]Приложение № 4'!E57</f>
        <v>0</v>
      </c>
      <c r="AE62" s="165" t="e">
        <f>+N62-#REF!</f>
        <v>#REF!</v>
      </c>
      <c r="AG62" s="3" t="s">
        <v>331</v>
      </c>
      <c r="AH62" s="4">
        <f t="shared" si="9"/>
        <v>132652.44874364641</v>
      </c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>
        <v>108652.44874364641</v>
      </c>
      <c r="AV62" s="4">
        <v>24000</v>
      </c>
      <c r="AW62" s="4"/>
      <c r="AZ62" s="156">
        <f>+N62-'Приложение №4'!E57</f>
        <v>0</v>
      </c>
    </row>
    <row r="63" spans="1:52" ht="15" x14ac:dyDescent="0.25">
      <c r="A63" s="122">
        <f t="shared" si="4"/>
        <v>46</v>
      </c>
      <c r="B63" s="62">
        <f t="shared" si="5"/>
        <v>46</v>
      </c>
      <c r="C63" s="62" t="s">
        <v>82</v>
      </c>
      <c r="D63" s="62" t="s">
        <v>334</v>
      </c>
      <c r="E63" s="123" t="s">
        <v>103</v>
      </c>
      <c r="F63" s="123"/>
      <c r="G63" s="123" t="s">
        <v>99</v>
      </c>
      <c r="H63" s="123" t="s">
        <v>482</v>
      </c>
      <c r="I63" s="123" t="s">
        <v>98</v>
      </c>
      <c r="J63" s="64">
        <v>6531.6</v>
      </c>
      <c r="K63" s="64">
        <v>5613.6</v>
      </c>
      <c r="L63" s="64">
        <v>0</v>
      </c>
      <c r="M63" s="124">
        <v>197</v>
      </c>
      <c r="N63" s="95">
        <f t="shared" si="1"/>
        <v>1329258.7059235161</v>
      </c>
      <c r="O63" s="64">
        <v>0</v>
      </c>
      <c r="P63" s="64"/>
      <c r="Q63" s="64"/>
      <c r="R63" s="64">
        <f>+'[12]Приложение № 4'!E58</f>
        <v>1329258.7059235161</v>
      </c>
      <c r="S63" s="64"/>
      <c r="T63" s="64"/>
      <c r="U63" s="64">
        <f t="shared" si="7"/>
        <v>236.79255841590353</v>
      </c>
      <c r="V63" s="64">
        <f t="shared" si="7"/>
        <v>236.79255841590353</v>
      </c>
      <c r="W63" s="163" t="s">
        <v>495</v>
      </c>
      <c r="X63" s="156" t="e">
        <f>+N63-#REF!</f>
        <v>#REF!</v>
      </c>
      <c r="Y63" s="153">
        <v>2526023.84</v>
      </c>
      <c r="Z63" s="153">
        <f>+(K63*12.08+L63*20.47)*12</f>
        <v>813747.45600000001</v>
      </c>
      <c r="AB63" s="156" t="e">
        <f>+N63-#REF!</f>
        <v>#REF!</v>
      </c>
      <c r="AC63" s="164">
        <f>+N63-'[12]Приложение № 4'!E58</f>
        <v>0</v>
      </c>
      <c r="AE63" s="165" t="e">
        <f>+N63-#REF!</f>
        <v>#REF!</v>
      </c>
      <c r="AG63" s="3" t="s">
        <v>334</v>
      </c>
      <c r="AH63" s="4">
        <f t="shared" si="9"/>
        <v>449586.22592351609</v>
      </c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>
        <v>425586.22592351609</v>
      </c>
      <c r="AV63" s="4">
        <v>24000</v>
      </c>
      <c r="AW63" s="4"/>
      <c r="AZ63" s="156">
        <f>+N63-'Приложение №4'!E58</f>
        <v>0</v>
      </c>
    </row>
    <row r="64" spans="1:52" ht="15" x14ac:dyDescent="0.25">
      <c r="A64" s="122">
        <f t="shared" si="4"/>
        <v>47</v>
      </c>
      <c r="B64" s="62">
        <f t="shared" si="5"/>
        <v>47</v>
      </c>
      <c r="C64" s="62" t="s">
        <v>82</v>
      </c>
      <c r="D64" s="62" t="s">
        <v>335</v>
      </c>
      <c r="E64" s="123" t="s">
        <v>135</v>
      </c>
      <c r="F64" s="123"/>
      <c r="G64" s="123" t="s">
        <v>99</v>
      </c>
      <c r="H64" s="123" t="s">
        <v>482</v>
      </c>
      <c r="I64" s="123" t="s">
        <v>102</v>
      </c>
      <c r="J64" s="64">
        <v>3344</v>
      </c>
      <c r="K64" s="64">
        <v>2858.8</v>
      </c>
      <c r="L64" s="64">
        <v>0</v>
      </c>
      <c r="M64" s="124">
        <v>115</v>
      </c>
      <c r="N64" s="95">
        <f t="shared" si="1"/>
        <v>1434629.2921652414</v>
      </c>
      <c r="O64" s="64">
        <v>0</v>
      </c>
      <c r="P64" s="64"/>
      <c r="Q64" s="64"/>
      <c r="R64" s="64">
        <f>+'[12]Приложение № 4'!E59</f>
        <v>1434629.2921652414</v>
      </c>
      <c r="S64" s="64"/>
      <c r="T64" s="64"/>
      <c r="U64" s="64">
        <f t="shared" si="7"/>
        <v>501.82919132686487</v>
      </c>
      <c r="V64" s="64">
        <f t="shared" si="7"/>
        <v>501.82919132686487</v>
      </c>
      <c r="W64" s="163" t="s">
        <v>495</v>
      </c>
      <c r="X64" s="156" t="e">
        <f>+N64-#REF!</f>
        <v>#REF!</v>
      </c>
      <c r="Y64" s="153">
        <v>1417549.79</v>
      </c>
      <c r="Z64" s="153">
        <f>+(K64*12.08+L64*20.47)*12</f>
        <v>414411.64800000004</v>
      </c>
      <c r="AB64" s="156" t="e">
        <f>+N64-#REF!</f>
        <v>#REF!</v>
      </c>
      <c r="AC64" s="164">
        <f>+N64-'[12]Приложение № 4'!E59</f>
        <v>0</v>
      </c>
      <c r="AE64" s="165" t="e">
        <f>+N64-#REF!</f>
        <v>#REF!</v>
      </c>
      <c r="AG64" s="3" t="s">
        <v>335</v>
      </c>
      <c r="AH64" s="4">
        <f t="shared" si="9"/>
        <v>386337.64216524141</v>
      </c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>
        <v>362337.64216524141</v>
      </c>
      <c r="AV64" s="4">
        <v>24000</v>
      </c>
      <c r="AW64" s="4"/>
      <c r="AZ64" s="156">
        <f>+N64-'Приложение №4'!E59</f>
        <v>0</v>
      </c>
    </row>
    <row r="65" spans="1:52" ht="15" x14ac:dyDescent="0.25">
      <c r="A65" s="122">
        <f t="shared" si="4"/>
        <v>48</v>
      </c>
      <c r="B65" s="62">
        <f t="shared" si="5"/>
        <v>48</v>
      </c>
      <c r="C65" s="62" t="s">
        <v>82</v>
      </c>
      <c r="D65" s="62" t="s">
        <v>456</v>
      </c>
      <c r="E65" s="123" t="s">
        <v>122</v>
      </c>
      <c r="F65" s="123"/>
      <c r="G65" s="123" t="s">
        <v>99</v>
      </c>
      <c r="H65" s="123" t="s">
        <v>97</v>
      </c>
      <c r="I65" s="123" t="s">
        <v>98</v>
      </c>
      <c r="J65" s="64">
        <v>6530.5</v>
      </c>
      <c r="K65" s="64">
        <v>5642.6</v>
      </c>
      <c r="L65" s="64">
        <v>0</v>
      </c>
      <c r="M65" s="124">
        <v>226</v>
      </c>
      <c r="N65" s="95">
        <f t="shared" si="1"/>
        <v>451412.75421461329</v>
      </c>
      <c r="O65" s="64">
        <v>0</v>
      </c>
      <c r="P65" s="64"/>
      <c r="Q65" s="64"/>
      <c r="R65" s="64">
        <f>+'[12]Приложение № 4'!E60</f>
        <v>451412.75421461329</v>
      </c>
      <c r="S65" s="64"/>
      <c r="T65" s="64"/>
      <c r="U65" s="64">
        <f t="shared" si="7"/>
        <v>80.000842557440407</v>
      </c>
      <c r="V65" s="64">
        <f t="shared" si="7"/>
        <v>80.000842557440407</v>
      </c>
      <c r="W65" s="163" t="s">
        <v>495</v>
      </c>
      <c r="X65" s="156" t="e">
        <f>+N65-#REF!</f>
        <v>#REF!</v>
      </c>
      <c r="Y65" s="153">
        <v>2755801.63</v>
      </c>
      <c r="Z65" s="153">
        <f>+(K65*12.08+L65*20.47)*12</f>
        <v>817951.29600000009</v>
      </c>
      <c r="AB65" s="156" t="e">
        <f>+N65-#REF!</f>
        <v>#REF!</v>
      </c>
      <c r="AC65" s="164">
        <f>+N65-'[12]Приложение № 4'!E60</f>
        <v>0</v>
      </c>
      <c r="AE65" s="165" t="e">
        <f>+N65-#REF!</f>
        <v>#REF!</v>
      </c>
      <c r="AG65" s="3" t="s">
        <v>456</v>
      </c>
      <c r="AH65" s="4">
        <f t="shared" si="9"/>
        <v>451412.75421461329</v>
      </c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>
        <v>427412.75421461329</v>
      </c>
      <c r="AV65" s="4">
        <v>24000</v>
      </c>
      <c r="AW65" s="4"/>
      <c r="AZ65" s="156">
        <f>+N65-'Приложение №4'!E60</f>
        <v>0</v>
      </c>
    </row>
    <row r="66" spans="1:52" ht="15" x14ac:dyDescent="0.25">
      <c r="A66" s="122">
        <f t="shared" si="4"/>
        <v>49</v>
      </c>
      <c r="B66" s="62">
        <f t="shared" si="5"/>
        <v>49</v>
      </c>
      <c r="C66" s="62" t="s">
        <v>82</v>
      </c>
      <c r="D66" s="62" t="s">
        <v>457</v>
      </c>
      <c r="E66" s="123" t="s">
        <v>107</v>
      </c>
      <c r="F66" s="123"/>
      <c r="G66" s="123" t="s">
        <v>99</v>
      </c>
      <c r="H66" s="123" t="s">
        <v>97</v>
      </c>
      <c r="I66" s="123" t="s">
        <v>102</v>
      </c>
      <c r="J66" s="64">
        <v>2891.6</v>
      </c>
      <c r="K66" s="64">
        <v>2275.6</v>
      </c>
      <c r="L66" s="64">
        <v>121.8</v>
      </c>
      <c r="M66" s="124">
        <v>87</v>
      </c>
      <c r="N66" s="95">
        <f t="shared" si="1"/>
        <v>267582.33999999997</v>
      </c>
      <c r="O66" s="64">
        <v>0</v>
      </c>
      <c r="P66" s="64"/>
      <c r="Q66" s="64"/>
      <c r="R66" s="64">
        <f>+'[12]Приложение № 4'!E61</f>
        <v>267582.33999999997</v>
      </c>
      <c r="S66" s="64"/>
      <c r="T66" s="64"/>
      <c r="U66" s="64">
        <f t="shared" si="7"/>
        <v>111.61355635271542</v>
      </c>
      <c r="V66" s="64">
        <f t="shared" si="7"/>
        <v>111.61355635271542</v>
      </c>
      <c r="W66" s="163" t="s">
        <v>495</v>
      </c>
      <c r="X66" s="156" t="e">
        <f>+N66-#REF!</f>
        <v>#REF!</v>
      </c>
      <c r="Y66" s="153">
        <v>1239951.3999999999</v>
      </c>
      <c r="Z66" s="153">
        <f>+(K66*12.08+L66*20.47)*12</f>
        <v>359789.92799999996</v>
      </c>
      <c r="AB66" s="156" t="e">
        <f>+N66-#REF!</f>
        <v>#REF!</v>
      </c>
      <c r="AC66" s="164">
        <f>+N66-'[12]Приложение № 4'!E61</f>
        <v>0</v>
      </c>
      <c r="AE66" s="165" t="e">
        <f>+N66-#REF!</f>
        <v>#REF!</v>
      </c>
      <c r="AG66" s="3" t="s">
        <v>457</v>
      </c>
      <c r="AH66" s="4">
        <f t="shared" si="9"/>
        <v>394432.708064234</v>
      </c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>
        <v>370432.708064234</v>
      </c>
      <c r="AV66" s="4">
        <v>24000</v>
      </c>
      <c r="AW66" s="4"/>
      <c r="AZ66" s="156">
        <f>+N66-'Приложение №4'!E61</f>
        <v>0</v>
      </c>
    </row>
    <row r="67" spans="1:52" ht="15" x14ac:dyDescent="0.25">
      <c r="A67" s="122">
        <f t="shared" si="4"/>
        <v>50</v>
      </c>
      <c r="B67" s="62">
        <f t="shared" si="5"/>
        <v>50</v>
      </c>
      <c r="C67" s="62" t="s">
        <v>82</v>
      </c>
      <c r="D67" s="62" t="s">
        <v>1162</v>
      </c>
      <c r="E67" s="123">
        <v>1992</v>
      </c>
      <c r="F67" s="123">
        <v>2010</v>
      </c>
      <c r="G67" s="123" t="s">
        <v>84</v>
      </c>
      <c r="H67" s="123">
        <v>9</v>
      </c>
      <c r="I67" s="123">
        <v>2</v>
      </c>
      <c r="J67" s="64">
        <v>5843.5</v>
      </c>
      <c r="K67" s="64">
        <v>4914.5</v>
      </c>
      <c r="L67" s="64">
        <v>82.5</v>
      </c>
      <c r="M67" s="124">
        <v>159</v>
      </c>
      <c r="N67" s="95">
        <f t="shared" si="1"/>
        <v>477598.53011454962</v>
      </c>
      <c r="O67" s="64"/>
      <c r="P67" s="65"/>
      <c r="Q67" s="65"/>
      <c r="R67" s="64">
        <f>+'[12]Приложение № 4'!E62</f>
        <v>477598.53011454962</v>
      </c>
      <c r="S67" s="65"/>
      <c r="T67" s="65"/>
      <c r="U67" s="64">
        <f t="shared" si="7"/>
        <v>95.577052254262483</v>
      </c>
      <c r="V67" s="64">
        <f t="shared" si="7"/>
        <v>95.577052254262483</v>
      </c>
      <c r="W67" s="163" t="s">
        <v>495</v>
      </c>
      <c r="X67" s="157"/>
      <c r="Y67" s="158"/>
      <c r="Z67" s="158"/>
      <c r="AA67" s="158"/>
      <c r="AC67" s="164">
        <f>+N67-'[12]Приложение № 4'!E62</f>
        <v>0</v>
      </c>
      <c r="AZ67" s="156">
        <f>+N67-'Приложение №4'!E62</f>
        <v>0</v>
      </c>
    </row>
    <row r="68" spans="1:52" ht="15" x14ac:dyDescent="0.25">
      <c r="A68" s="122">
        <f t="shared" si="4"/>
        <v>51</v>
      </c>
      <c r="B68" s="62">
        <f t="shared" si="5"/>
        <v>51</v>
      </c>
      <c r="C68" s="62" t="s">
        <v>82</v>
      </c>
      <c r="D68" s="62" t="s">
        <v>293</v>
      </c>
      <c r="E68" s="123" t="s">
        <v>119</v>
      </c>
      <c r="F68" s="123"/>
      <c r="G68" s="123" t="s">
        <v>99</v>
      </c>
      <c r="H68" s="123" t="s">
        <v>97</v>
      </c>
      <c r="I68" s="123" t="s">
        <v>108</v>
      </c>
      <c r="J68" s="64">
        <v>12250.3</v>
      </c>
      <c r="K68" s="64">
        <v>9272.1</v>
      </c>
      <c r="L68" s="64">
        <v>330.7</v>
      </c>
      <c r="M68" s="124">
        <v>376</v>
      </c>
      <c r="N68" s="95">
        <f t="shared" si="1"/>
        <v>1292424.21</v>
      </c>
      <c r="O68" s="64">
        <v>0</v>
      </c>
      <c r="P68" s="64"/>
      <c r="Q68" s="64"/>
      <c r="R68" s="64">
        <f>+'[12]Приложение № 4'!E63</f>
        <v>1292424.21</v>
      </c>
      <c r="S68" s="64"/>
      <c r="T68" s="64"/>
      <c r="U68" s="64">
        <f t="shared" si="7"/>
        <v>134.5882669638022</v>
      </c>
      <c r="V68" s="64">
        <f t="shared" si="7"/>
        <v>134.5882669638022</v>
      </c>
      <c r="W68" s="163" t="s">
        <v>495</v>
      </c>
      <c r="X68" s="156" t="e">
        <f>+N68-#REF!</f>
        <v>#REF!</v>
      </c>
      <c r="Y68" s="153">
        <v>4713911.96</v>
      </c>
      <c r="Z68" s="153">
        <f>+(K68*12.08+L68*20.47)*12</f>
        <v>1425316.7640000002</v>
      </c>
      <c r="AB68" s="156" t="e">
        <f>+N68-#REF!</f>
        <v>#REF!</v>
      </c>
      <c r="AC68" s="164">
        <f>+N68-'[12]Приложение № 4'!E63</f>
        <v>0</v>
      </c>
      <c r="AE68" s="165" t="e">
        <f>+N68-#REF!</f>
        <v>#REF!</v>
      </c>
      <c r="AG68" s="3" t="s">
        <v>293</v>
      </c>
      <c r="AH68" s="4">
        <f t="shared" si="3"/>
        <v>1541565.3751846224</v>
      </c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>
        <v>1517565.3751846224</v>
      </c>
      <c r="AV68" s="4">
        <v>24000</v>
      </c>
      <c r="AW68" s="4"/>
      <c r="AZ68" s="156">
        <f>+N68-'Приложение №4'!E63</f>
        <v>0</v>
      </c>
    </row>
    <row r="69" spans="1:52" ht="15" x14ac:dyDescent="0.25">
      <c r="A69" s="122">
        <f t="shared" si="4"/>
        <v>52</v>
      </c>
      <c r="B69" s="62">
        <f t="shared" si="5"/>
        <v>52</v>
      </c>
      <c r="C69" s="62" t="s">
        <v>82</v>
      </c>
      <c r="D69" s="62" t="s">
        <v>294</v>
      </c>
      <c r="E69" s="123" t="s">
        <v>126</v>
      </c>
      <c r="F69" s="123"/>
      <c r="G69" s="123" t="s">
        <v>99</v>
      </c>
      <c r="H69" s="123" t="s">
        <v>97</v>
      </c>
      <c r="I69" s="123" t="s">
        <v>102</v>
      </c>
      <c r="J69" s="64">
        <v>3327.1</v>
      </c>
      <c r="K69" s="64">
        <v>2761.3</v>
      </c>
      <c r="L69" s="64">
        <v>127.1</v>
      </c>
      <c r="M69" s="124">
        <v>93</v>
      </c>
      <c r="N69" s="95">
        <f t="shared" si="1"/>
        <v>1060645.6500000001</v>
      </c>
      <c r="O69" s="64">
        <v>0</v>
      </c>
      <c r="P69" s="64"/>
      <c r="Q69" s="64"/>
      <c r="R69" s="64">
        <f>+'[12]Приложение № 4'!E64</f>
        <v>1060645.6500000001</v>
      </c>
      <c r="S69" s="64"/>
      <c r="T69" s="64"/>
      <c r="U69" s="64">
        <f t="shared" si="7"/>
        <v>367.20871416701294</v>
      </c>
      <c r="V69" s="64">
        <f t="shared" si="7"/>
        <v>367.20871416701294</v>
      </c>
      <c r="W69" s="163" t="s">
        <v>495</v>
      </c>
      <c r="X69" s="156" t="e">
        <f>+N69-#REF!</f>
        <v>#REF!</v>
      </c>
      <c r="Y69" s="153">
        <v>1406574.09</v>
      </c>
      <c r="Z69" s="153">
        <f>+(K69*12.08+L69*20.47)*12</f>
        <v>431498.89199999999</v>
      </c>
      <c r="AB69" s="156" t="e">
        <f>+N69-#REF!</f>
        <v>#REF!</v>
      </c>
      <c r="AC69" s="164">
        <f>+N69-'[12]Приложение № 4'!E64</f>
        <v>0</v>
      </c>
      <c r="AE69" s="165" t="e">
        <f>+N69-#REF!</f>
        <v>#REF!</v>
      </c>
      <c r="AG69" s="3" t="s">
        <v>294</v>
      </c>
      <c r="AH69" s="4">
        <f t="shared" si="3"/>
        <v>1066091.0141759999</v>
      </c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>
        <v>1042091.0141759999</v>
      </c>
      <c r="AV69" s="4">
        <v>24000</v>
      </c>
      <c r="AW69" s="4"/>
      <c r="AZ69" s="156">
        <f>+N69-'Приложение №4'!E64</f>
        <v>0</v>
      </c>
    </row>
    <row r="70" spans="1:52" ht="15" x14ac:dyDescent="0.25">
      <c r="A70" s="122">
        <f t="shared" si="4"/>
        <v>53</v>
      </c>
      <c r="B70" s="62">
        <f t="shared" si="5"/>
        <v>53</v>
      </c>
      <c r="C70" s="62" t="s">
        <v>82</v>
      </c>
      <c r="D70" s="62" t="s">
        <v>295</v>
      </c>
      <c r="E70" s="123" t="s">
        <v>113</v>
      </c>
      <c r="F70" s="123"/>
      <c r="G70" s="123" t="s">
        <v>99</v>
      </c>
      <c r="H70" s="123" t="s">
        <v>105</v>
      </c>
      <c r="I70" s="123" t="s">
        <v>109</v>
      </c>
      <c r="J70" s="64">
        <v>4123.8</v>
      </c>
      <c r="K70" s="64">
        <v>3630.8</v>
      </c>
      <c r="L70" s="64">
        <v>0</v>
      </c>
      <c r="M70" s="124">
        <v>169</v>
      </c>
      <c r="N70" s="95">
        <f t="shared" si="1"/>
        <v>747051.57000000007</v>
      </c>
      <c r="O70" s="64">
        <v>0</v>
      </c>
      <c r="P70" s="64"/>
      <c r="Q70" s="64"/>
      <c r="R70" s="64">
        <f>+'[12]Приложение № 4'!E65</f>
        <v>747051.57000000007</v>
      </c>
      <c r="S70" s="64"/>
      <c r="T70" s="64"/>
      <c r="U70" s="64">
        <f t="shared" si="7"/>
        <v>205.75398534758182</v>
      </c>
      <c r="V70" s="64">
        <f t="shared" si="7"/>
        <v>205.75398534758182</v>
      </c>
      <c r="W70" s="163" t="s">
        <v>495</v>
      </c>
      <c r="X70" s="156" t="e">
        <f>+N70-#REF!</f>
        <v>#REF!</v>
      </c>
      <c r="Y70" s="153">
        <v>1315884.68</v>
      </c>
      <c r="Z70" s="153">
        <f>+(K70*9.1+L70*18.19)*12</f>
        <v>396483.36</v>
      </c>
      <c r="AB70" s="156" t="e">
        <f>+N70-#REF!</f>
        <v>#REF!</v>
      </c>
      <c r="AC70" s="164">
        <f>+N70-'[12]Приложение № 4'!E65</f>
        <v>0</v>
      </c>
      <c r="AE70" s="165" t="e">
        <f>+N70-#REF!</f>
        <v>#REF!</v>
      </c>
      <c r="AG70" s="3" t="s">
        <v>295</v>
      </c>
      <c r="AH70" s="4">
        <f t="shared" si="3"/>
        <v>750849.70203554514</v>
      </c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>
        <v>726849.70203554514</v>
      </c>
      <c r="AV70" s="4">
        <v>24000</v>
      </c>
      <c r="AW70" s="4"/>
      <c r="AZ70" s="156">
        <f>+N70-'Приложение №4'!E65</f>
        <v>0</v>
      </c>
    </row>
    <row r="71" spans="1:52" ht="15" x14ac:dyDescent="0.25">
      <c r="A71" s="122">
        <f t="shared" si="4"/>
        <v>54</v>
      </c>
      <c r="B71" s="62">
        <f t="shared" si="5"/>
        <v>54</v>
      </c>
      <c r="C71" s="62" t="s">
        <v>82</v>
      </c>
      <c r="D71" s="62" t="s">
        <v>296</v>
      </c>
      <c r="E71" s="123" t="s">
        <v>107</v>
      </c>
      <c r="F71" s="123"/>
      <c r="G71" s="123" t="s">
        <v>99</v>
      </c>
      <c r="H71" s="123" t="s">
        <v>108</v>
      </c>
      <c r="I71" s="123" t="s">
        <v>98</v>
      </c>
      <c r="J71" s="64">
        <v>3362.8</v>
      </c>
      <c r="K71" s="64">
        <v>2867.5</v>
      </c>
      <c r="L71" s="64">
        <v>0</v>
      </c>
      <c r="M71" s="124">
        <v>119</v>
      </c>
      <c r="N71" s="95">
        <f t="shared" si="1"/>
        <v>309619.23</v>
      </c>
      <c r="O71" s="64">
        <v>0</v>
      </c>
      <c r="P71" s="64"/>
      <c r="Q71" s="64"/>
      <c r="R71" s="64">
        <f>+'[12]Приложение № 4'!E66</f>
        <v>309619.23</v>
      </c>
      <c r="S71" s="64"/>
      <c r="T71" s="64"/>
      <c r="U71" s="64">
        <f t="shared" si="7"/>
        <v>107.97531996512642</v>
      </c>
      <c r="V71" s="64">
        <f t="shared" si="7"/>
        <v>107.97531996512642</v>
      </c>
      <c r="W71" s="163" t="s">
        <v>495</v>
      </c>
      <c r="X71" s="156" t="e">
        <f>+N71-#REF!</f>
        <v>#REF!</v>
      </c>
      <c r="Y71" s="153">
        <v>1133436.98</v>
      </c>
      <c r="Z71" s="153">
        <f>+(K71*9.1+L71*18.19)*12</f>
        <v>313131</v>
      </c>
      <c r="AB71" s="156" t="e">
        <f>+N71-#REF!</f>
        <v>#REF!</v>
      </c>
      <c r="AC71" s="164">
        <f>+N71-'[12]Приложение № 4'!E66</f>
        <v>0</v>
      </c>
      <c r="AE71" s="165" t="e">
        <f>+N71-#REF!</f>
        <v>#REF!</v>
      </c>
      <c r="AG71" s="3" t="s">
        <v>296</v>
      </c>
      <c r="AH71" s="4">
        <f t="shared" si="3"/>
        <v>311119.56153386593</v>
      </c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>
        <v>287119.56153386593</v>
      </c>
      <c r="AV71" s="4">
        <v>24000</v>
      </c>
      <c r="AW71" s="4"/>
      <c r="AZ71" s="156">
        <f>+N71-'Приложение №4'!E66</f>
        <v>0</v>
      </c>
    </row>
    <row r="72" spans="1:52" ht="15" x14ac:dyDescent="0.25">
      <c r="A72" s="122">
        <f t="shared" si="4"/>
        <v>55</v>
      </c>
      <c r="B72" s="62">
        <f t="shared" si="5"/>
        <v>55</v>
      </c>
      <c r="C72" s="62" t="s">
        <v>82</v>
      </c>
      <c r="D72" s="62" t="s">
        <v>297</v>
      </c>
      <c r="E72" s="123" t="s">
        <v>513</v>
      </c>
      <c r="F72" s="123"/>
      <c r="G72" s="123" t="s">
        <v>99</v>
      </c>
      <c r="H72" s="123" t="s">
        <v>97</v>
      </c>
      <c r="I72" s="123" t="s">
        <v>102</v>
      </c>
      <c r="J72" s="64">
        <v>3420</v>
      </c>
      <c r="K72" s="64">
        <v>2765.1</v>
      </c>
      <c r="L72" s="64">
        <v>136</v>
      </c>
      <c r="M72" s="124">
        <v>109</v>
      </c>
      <c r="N72" s="95">
        <f t="shared" si="1"/>
        <v>579578.69999999995</v>
      </c>
      <c r="O72" s="64">
        <v>0</v>
      </c>
      <c r="P72" s="64"/>
      <c r="Q72" s="64"/>
      <c r="R72" s="64">
        <f>+'[12]Приложение № 4'!E67</f>
        <v>579578.69999999995</v>
      </c>
      <c r="S72" s="64"/>
      <c r="T72" s="64"/>
      <c r="U72" s="64">
        <f t="shared" si="7"/>
        <v>199.77894591706593</v>
      </c>
      <c r="V72" s="64">
        <f t="shared" si="7"/>
        <v>199.77894591706593</v>
      </c>
      <c r="W72" s="163" t="s">
        <v>495</v>
      </c>
      <c r="X72" s="156" t="e">
        <f>+N72-#REF!</f>
        <v>#REF!</v>
      </c>
      <c r="Y72" s="153">
        <v>1317824.78</v>
      </c>
      <c r="Z72" s="153">
        <f>+(K72*12.08+L72*20.47)*12</f>
        <v>434235.93599999993</v>
      </c>
      <c r="AB72" s="156" t="e">
        <f>+N72-#REF!</f>
        <v>#REF!</v>
      </c>
      <c r="AC72" s="164">
        <f>+N72-'[12]Приложение № 4'!E67</f>
        <v>0</v>
      </c>
      <c r="AE72" s="165" t="e">
        <f>+N72-#REF!</f>
        <v>#REF!</v>
      </c>
      <c r="AG72" s="3" t="s">
        <v>297</v>
      </c>
      <c r="AH72" s="4">
        <f t="shared" si="3"/>
        <v>582497.10528000002</v>
      </c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>
        <v>558497.10528000002</v>
      </c>
      <c r="AV72" s="4">
        <v>24000</v>
      </c>
      <c r="AW72" s="4"/>
      <c r="AZ72" s="156">
        <f>+N72-'Приложение №4'!E67</f>
        <v>0</v>
      </c>
    </row>
    <row r="73" spans="1:52" ht="15" x14ac:dyDescent="0.25">
      <c r="A73" s="122">
        <f t="shared" si="4"/>
        <v>56</v>
      </c>
      <c r="B73" s="62">
        <f t="shared" si="5"/>
        <v>56</v>
      </c>
      <c r="C73" s="62" t="s">
        <v>82</v>
      </c>
      <c r="D73" s="62" t="s">
        <v>298</v>
      </c>
      <c r="E73" s="123" t="s">
        <v>514</v>
      </c>
      <c r="F73" s="123"/>
      <c r="G73" s="123" t="s">
        <v>99</v>
      </c>
      <c r="H73" s="123" t="s">
        <v>108</v>
      </c>
      <c r="I73" s="123" t="s">
        <v>108</v>
      </c>
      <c r="J73" s="64">
        <v>5761.1</v>
      </c>
      <c r="K73" s="64">
        <v>4905.8999999999996</v>
      </c>
      <c r="L73" s="64">
        <v>0</v>
      </c>
      <c r="M73" s="124">
        <v>212</v>
      </c>
      <c r="N73" s="95">
        <f t="shared" si="1"/>
        <v>347451.22</v>
      </c>
      <c r="O73" s="64">
        <v>0</v>
      </c>
      <c r="P73" s="64"/>
      <c r="Q73" s="64"/>
      <c r="R73" s="64">
        <f>+'[12]Приложение № 4'!E68</f>
        <v>347451.22</v>
      </c>
      <c r="S73" s="64"/>
      <c r="T73" s="64"/>
      <c r="U73" s="64">
        <f t="shared" si="7"/>
        <v>70.823135408385824</v>
      </c>
      <c r="V73" s="64">
        <f t="shared" si="7"/>
        <v>70.823135408385824</v>
      </c>
      <c r="W73" s="163" t="s">
        <v>495</v>
      </c>
      <c r="X73" s="156" t="e">
        <f>+N73-#REF!</f>
        <v>#REF!</v>
      </c>
      <c r="Y73" s="153">
        <v>1802932.02</v>
      </c>
      <c r="Z73" s="153">
        <f>+(K73*9.1+L73*18.19)*12</f>
        <v>535724.27999999991</v>
      </c>
      <c r="AB73" s="156" t="e">
        <f>+N73-#REF!</f>
        <v>#REF!</v>
      </c>
      <c r="AC73" s="164">
        <f>+N73-'[12]Приложение № 4'!E68</f>
        <v>0</v>
      </c>
      <c r="AE73" s="165" t="e">
        <f>+N73-#REF!</f>
        <v>#REF!</v>
      </c>
      <c r="AG73" s="3" t="s">
        <v>298</v>
      </c>
      <c r="AH73" s="4">
        <f t="shared" si="3"/>
        <v>349150.27754646976</v>
      </c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>
        <v>325150.27754646976</v>
      </c>
      <c r="AV73" s="4">
        <v>24000</v>
      </c>
      <c r="AW73" s="4"/>
      <c r="AZ73" s="156">
        <f>+N73-'Приложение №4'!E68</f>
        <v>0</v>
      </c>
    </row>
    <row r="74" spans="1:52" ht="15" x14ac:dyDescent="0.25">
      <c r="A74" s="122">
        <f t="shared" si="4"/>
        <v>57</v>
      </c>
      <c r="B74" s="62">
        <f t="shared" si="5"/>
        <v>57</v>
      </c>
      <c r="C74" s="62" t="s">
        <v>82</v>
      </c>
      <c r="D74" s="62" t="s">
        <v>300</v>
      </c>
      <c r="E74" s="123" t="s">
        <v>119</v>
      </c>
      <c r="F74" s="123"/>
      <c r="G74" s="123" t="s">
        <v>99</v>
      </c>
      <c r="H74" s="123" t="s">
        <v>97</v>
      </c>
      <c r="I74" s="123" t="s">
        <v>102</v>
      </c>
      <c r="J74" s="64">
        <v>2820.8</v>
      </c>
      <c r="K74" s="64">
        <v>2221.1</v>
      </c>
      <c r="L74" s="64">
        <v>119.6</v>
      </c>
      <c r="M74" s="124">
        <v>118</v>
      </c>
      <c r="N74" s="95">
        <f t="shared" si="1"/>
        <v>400458.23</v>
      </c>
      <c r="O74" s="64">
        <v>0</v>
      </c>
      <c r="P74" s="64"/>
      <c r="Q74" s="64"/>
      <c r="R74" s="64">
        <f>+'[12]Приложение № 4'!E69</f>
        <v>400458.23</v>
      </c>
      <c r="S74" s="64"/>
      <c r="T74" s="64"/>
      <c r="U74" s="64">
        <f t="shared" si="7"/>
        <v>171.08481650788227</v>
      </c>
      <c r="V74" s="64">
        <f t="shared" si="7"/>
        <v>171.08481650788227</v>
      </c>
      <c r="W74" s="163" t="s">
        <v>495</v>
      </c>
      <c r="X74" s="156" t="e">
        <f>+N74-#REF!</f>
        <v>#REF!</v>
      </c>
      <c r="Y74" s="153">
        <v>1143093.33</v>
      </c>
      <c r="Z74" s="153">
        <f>+(K74*12.08+L74*20.47)*12</f>
        <v>351349.19999999995</v>
      </c>
      <c r="AB74" s="156" t="e">
        <f>+N74-#REF!</f>
        <v>#REF!</v>
      </c>
      <c r="AC74" s="164">
        <f>+N74-'[12]Приложение № 4'!E69</f>
        <v>0</v>
      </c>
      <c r="AE74" s="165" t="e">
        <f>+N74-#REF!</f>
        <v>#REF!</v>
      </c>
      <c r="AG74" s="3" t="s">
        <v>300</v>
      </c>
      <c r="AH74" s="4">
        <f t="shared" si="3"/>
        <v>402435.73011235206</v>
      </c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>
        <v>378435.73011235206</v>
      </c>
      <c r="AV74" s="4">
        <v>24000</v>
      </c>
      <c r="AW74" s="4"/>
      <c r="AZ74" s="156">
        <f>+N74-'Приложение №4'!E69</f>
        <v>0</v>
      </c>
    </row>
    <row r="75" spans="1:52" ht="15" x14ac:dyDescent="0.25">
      <c r="A75" s="122">
        <f t="shared" si="4"/>
        <v>58</v>
      </c>
      <c r="B75" s="62">
        <f t="shared" si="5"/>
        <v>58</v>
      </c>
      <c r="C75" s="62" t="s">
        <v>82</v>
      </c>
      <c r="D75" s="62" t="s">
        <v>301</v>
      </c>
      <c r="E75" s="123" t="s">
        <v>112</v>
      </c>
      <c r="F75" s="123"/>
      <c r="G75" s="123" t="s">
        <v>96</v>
      </c>
      <c r="H75" s="123" t="s">
        <v>105</v>
      </c>
      <c r="I75" s="123" t="s">
        <v>101</v>
      </c>
      <c r="J75" s="64">
        <v>5284.65</v>
      </c>
      <c r="K75" s="64">
        <v>2548.5</v>
      </c>
      <c r="L75" s="64">
        <v>972.4</v>
      </c>
      <c r="M75" s="124">
        <v>299</v>
      </c>
      <c r="N75" s="95">
        <f t="shared" si="1"/>
        <v>644109.07000000007</v>
      </c>
      <c r="O75" s="64">
        <v>0</v>
      </c>
      <c r="P75" s="64"/>
      <c r="Q75" s="64"/>
      <c r="R75" s="64">
        <f>+'[12]Приложение № 4'!E70</f>
        <v>644109.07000000007</v>
      </c>
      <c r="S75" s="64"/>
      <c r="T75" s="64"/>
      <c r="U75" s="64">
        <f t="shared" si="7"/>
        <v>182.93875713595958</v>
      </c>
      <c r="V75" s="64">
        <f t="shared" si="7"/>
        <v>182.93875713595958</v>
      </c>
      <c r="W75" s="163" t="s">
        <v>495</v>
      </c>
      <c r="X75" s="156" t="e">
        <f>+N75-#REF!</f>
        <v>#REF!</v>
      </c>
      <c r="Y75" s="153">
        <v>1726148.13</v>
      </c>
      <c r="Z75" s="153">
        <f t="shared" ref="Z75:Z78" si="10">+(K75*9.1+L75*18.19)*12</f>
        <v>490551.67199999996</v>
      </c>
      <c r="AB75" s="156" t="e">
        <f>+N75-#REF!</f>
        <v>#REF!</v>
      </c>
      <c r="AC75" s="164">
        <f>+N75-'[12]Приложение № 4'!E70</f>
        <v>0</v>
      </c>
      <c r="AE75" s="165" t="e">
        <f>+N75-#REF!</f>
        <v>#REF!</v>
      </c>
      <c r="AG75" s="3" t="s">
        <v>301</v>
      </c>
      <c r="AH75" s="4">
        <f t="shared" si="3"/>
        <v>647366.44112744601</v>
      </c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>
        <v>623366.44112744601</v>
      </c>
      <c r="AV75" s="4">
        <v>24000</v>
      </c>
      <c r="AW75" s="4"/>
      <c r="AZ75" s="156">
        <f>+N75-'Приложение №4'!E70</f>
        <v>0</v>
      </c>
    </row>
    <row r="76" spans="1:52" ht="15" x14ac:dyDescent="0.25">
      <c r="A76" s="122">
        <f t="shared" si="4"/>
        <v>59</v>
      </c>
      <c r="B76" s="62">
        <f t="shared" si="5"/>
        <v>59</v>
      </c>
      <c r="C76" s="62" t="s">
        <v>82</v>
      </c>
      <c r="D76" s="62" t="s">
        <v>302</v>
      </c>
      <c r="E76" s="123" t="s">
        <v>112</v>
      </c>
      <c r="F76" s="123"/>
      <c r="G76" s="123" t="s">
        <v>96</v>
      </c>
      <c r="H76" s="123" t="s">
        <v>105</v>
      </c>
      <c r="I76" s="123" t="s">
        <v>101</v>
      </c>
      <c r="J76" s="64">
        <v>5280.1</v>
      </c>
      <c r="K76" s="64">
        <v>2696.3</v>
      </c>
      <c r="L76" s="64">
        <v>546.1</v>
      </c>
      <c r="M76" s="124">
        <v>231</v>
      </c>
      <c r="N76" s="95">
        <f t="shared" si="1"/>
        <v>645433.58000000007</v>
      </c>
      <c r="O76" s="64">
        <v>0</v>
      </c>
      <c r="P76" s="64"/>
      <c r="Q76" s="64"/>
      <c r="R76" s="64">
        <f>+'[12]Приложение № 4'!E71</f>
        <v>645433.58000000007</v>
      </c>
      <c r="S76" s="64"/>
      <c r="T76" s="64"/>
      <c r="U76" s="64">
        <f t="shared" si="7"/>
        <v>199.06044288181596</v>
      </c>
      <c r="V76" s="64">
        <f t="shared" si="7"/>
        <v>199.06044288181596</v>
      </c>
      <c r="W76" s="163" t="s">
        <v>495</v>
      </c>
      <c r="X76" s="156" t="e">
        <f>+N76-#REF!</f>
        <v>#REF!</v>
      </c>
      <c r="Y76" s="153">
        <v>1498130.09</v>
      </c>
      <c r="Z76" s="153">
        <f t="shared" si="10"/>
        <v>413638.66800000006</v>
      </c>
      <c r="AB76" s="156" t="e">
        <f>+N76-#REF!</f>
        <v>#REF!</v>
      </c>
      <c r="AC76" s="164">
        <f>+N76-'[12]Приложение № 4'!E71</f>
        <v>0</v>
      </c>
      <c r="AE76" s="165" t="e">
        <f>+N76-#REF!</f>
        <v>#REF!</v>
      </c>
      <c r="AG76" s="3" t="s">
        <v>302</v>
      </c>
      <c r="AH76" s="4">
        <f t="shared" si="3"/>
        <v>648697.90903826652</v>
      </c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>
        <v>624697.90903826652</v>
      </c>
      <c r="AV76" s="4">
        <v>24000</v>
      </c>
      <c r="AW76" s="4"/>
      <c r="AZ76" s="156">
        <f>+N76-'Приложение №4'!E71</f>
        <v>0</v>
      </c>
    </row>
    <row r="77" spans="1:52" ht="15" x14ac:dyDescent="0.25">
      <c r="A77" s="122">
        <f t="shared" si="4"/>
        <v>60</v>
      </c>
      <c r="B77" s="62">
        <f t="shared" si="5"/>
        <v>60</v>
      </c>
      <c r="C77" s="62" t="s">
        <v>82</v>
      </c>
      <c r="D77" s="62" t="s">
        <v>303</v>
      </c>
      <c r="E77" s="123" t="s">
        <v>112</v>
      </c>
      <c r="F77" s="123"/>
      <c r="G77" s="123" t="s">
        <v>96</v>
      </c>
      <c r="H77" s="123" t="s">
        <v>105</v>
      </c>
      <c r="I77" s="123" t="s">
        <v>101</v>
      </c>
      <c r="J77" s="64">
        <v>4903.08</v>
      </c>
      <c r="K77" s="64">
        <v>2455.6</v>
      </c>
      <c r="L77" s="64">
        <v>542.70000000000005</v>
      </c>
      <c r="M77" s="124">
        <v>271</v>
      </c>
      <c r="N77" s="95">
        <f t="shared" si="1"/>
        <v>489797.92999999993</v>
      </c>
      <c r="O77" s="64">
        <v>0</v>
      </c>
      <c r="P77" s="64"/>
      <c r="Q77" s="64"/>
      <c r="R77" s="64">
        <f>+'[12]Приложение № 4'!E72</f>
        <v>489797.92999999993</v>
      </c>
      <c r="S77" s="64"/>
      <c r="T77" s="64"/>
      <c r="U77" s="64">
        <f t="shared" si="7"/>
        <v>163.35854650968878</v>
      </c>
      <c r="V77" s="64">
        <f t="shared" si="7"/>
        <v>163.35854650968878</v>
      </c>
      <c r="W77" s="163" t="s">
        <v>495</v>
      </c>
      <c r="X77" s="156" t="e">
        <f>+N77-#REF!</f>
        <v>#REF!</v>
      </c>
      <c r="Y77" s="153">
        <v>1663800.73</v>
      </c>
      <c r="Z77" s="153">
        <f t="shared" si="10"/>
        <v>386612.076</v>
      </c>
      <c r="AB77" s="156" t="e">
        <f>+N77-#REF!</f>
        <v>#REF!</v>
      </c>
      <c r="AC77" s="164">
        <f>+N77-'[12]Приложение № 4'!E72</f>
        <v>0</v>
      </c>
      <c r="AE77" s="165" t="e">
        <f>+N77-#REF!</f>
        <v>#REF!</v>
      </c>
      <c r="AG77" s="3" t="s">
        <v>303</v>
      </c>
      <c r="AH77" s="4">
        <f t="shared" si="3"/>
        <v>492244.71912483691</v>
      </c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>
        <v>468244.71912483691</v>
      </c>
      <c r="AV77" s="4">
        <v>24000</v>
      </c>
      <c r="AW77" s="4"/>
      <c r="AZ77" s="156">
        <f>+N77-'Приложение №4'!E72</f>
        <v>0</v>
      </c>
    </row>
    <row r="78" spans="1:52" ht="15" x14ac:dyDescent="0.25">
      <c r="A78" s="122">
        <f t="shared" si="4"/>
        <v>61</v>
      </c>
      <c r="B78" s="62">
        <f t="shared" si="5"/>
        <v>61</v>
      </c>
      <c r="C78" s="62" t="s">
        <v>82</v>
      </c>
      <c r="D78" s="62" t="s">
        <v>304</v>
      </c>
      <c r="E78" s="123" t="s">
        <v>113</v>
      </c>
      <c r="F78" s="123"/>
      <c r="G78" s="123" t="s">
        <v>99</v>
      </c>
      <c r="H78" s="123" t="s">
        <v>108</v>
      </c>
      <c r="I78" s="123" t="s">
        <v>101</v>
      </c>
      <c r="J78" s="64">
        <v>5167.2</v>
      </c>
      <c r="K78" s="64">
        <v>4337.6000000000004</v>
      </c>
      <c r="L78" s="64">
        <v>52.4</v>
      </c>
      <c r="M78" s="124">
        <v>187</v>
      </c>
      <c r="N78" s="95">
        <f t="shared" si="1"/>
        <v>510180.1</v>
      </c>
      <c r="O78" s="64">
        <v>0</v>
      </c>
      <c r="P78" s="64"/>
      <c r="Q78" s="64"/>
      <c r="R78" s="64">
        <f>+'[12]Приложение № 4'!E73</f>
        <v>510180.1</v>
      </c>
      <c r="S78" s="64"/>
      <c r="T78" s="64"/>
      <c r="U78" s="64">
        <f t="shared" si="7"/>
        <v>116.21414578587699</v>
      </c>
      <c r="V78" s="64">
        <f t="shared" si="7"/>
        <v>116.21414578587699</v>
      </c>
      <c r="W78" s="163" t="s">
        <v>495</v>
      </c>
      <c r="X78" s="156" t="e">
        <f>+N78-#REF!</f>
        <v>#REF!</v>
      </c>
      <c r="Y78" s="153">
        <v>1674988.46</v>
      </c>
      <c r="Z78" s="153">
        <f t="shared" si="10"/>
        <v>485103.79200000007</v>
      </c>
      <c r="AB78" s="156" t="e">
        <f>+N78-#REF!</f>
        <v>#REF!</v>
      </c>
      <c r="AC78" s="164">
        <f>+N78-'[12]Приложение № 4'!E73</f>
        <v>0</v>
      </c>
      <c r="AE78" s="165" t="e">
        <f>+N78-#REF!</f>
        <v>#REF!</v>
      </c>
      <c r="AG78" s="3" t="s">
        <v>304</v>
      </c>
      <c r="AH78" s="4">
        <f t="shared" si="3"/>
        <v>596117.43028742494</v>
      </c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>
        <v>572117.43028742494</v>
      </c>
      <c r="AV78" s="4">
        <v>24000</v>
      </c>
      <c r="AW78" s="4"/>
      <c r="AZ78" s="156">
        <f>+N78-'Приложение №4'!E73</f>
        <v>0</v>
      </c>
    </row>
    <row r="79" spans="1:52" ht="15" x14ac:dyDescent="0.25">
      <c r="A79" s="122">
        <f t="shared" si="4"/>
        <v>62</v>
      </c>
      <c r="B79" s="62">
        <f t="shared" si="5"/>
        <v>62</v>
      </c>
      <c r="C79" s="62" t="s">
        <v>82</v>
      </c>
      <c r="D79" s="62" t="s">
        <v>306</v>
      </c>
      <c r="E79" s="123" t="s">
        <v>113</v>
      </c>
      <c r="F79" s="123"/>
      <c r="G79" s="123" t="s">
        <v>99</v>
      </c>
      <c r="H79" s="123" t="s">
        <v>108</v>
      </c>
      <c r="I79" s="123" t="s">
        <v>101</v>
      </c>
      <c r="J79" s="64">
        <v>5054.5</v>
      </c>
      <c r="K79" s="64">
        <v>4553</v>
      </c>
      <c r="L79" s="64">
        <v>0</v>
      </c>
      <c r="M79" s="124">
        <v>165</v>
      </c>
      <c r="N79" s="95">
        <f t="shared" si="1"/>
        <v>291856.58</v>
      </c>
      <c r="O79" s="64">
        <v>0</v>
      </c>
      <c r="P79" s="64"/>
      <c r="Q79" s="64"/>
      <c r="R79" s="64">
        <f>+'[12]Приложение № 4'!E74</f>
        <v>291856.58</v>
      </c>
      <c r="S79" s="64"/>
      <c r="T79" s="64"/>
      <c r="U79" s="64">
        <f t="shared" si="7"/>
        <v>64.102038216560516</v>
      </c>
      <c r="V79" s="64">
        <f t="shared" si="7"/>
        <v>64.102038216560516</v>
      </c>
      <c r="W79" s="163" t="s">
        <v>495</v>
      </c>
      <c r="X79" s="156" t="e">
        <f>+N79-#REF!</f>
        <v>#REF!</v>
      </c>
      <c r="Y79" s="153">
        <v>1588079.23</v>
      </c>
      <c r="Z79" s="153">
        <f>+(K79*9.1+L79*18.19)*12</f>
        <v>497187.6</v>
      </c>
      <c r="AB79" s="156" t="e">
        <f>+N79-#REF!</f>
        <v>#REF!</v>
      </c>
      <c r="AC79" s="164">
        <f>+N79-'[12]Приложение № 4'!E74</f>
        <v>0</v>
      </c>
      <c r="AE79" s="165" t="e">
        <f>+N79-#REF!</f>
        <v>#REF!</v>
      </c>
      <c r="AG79" s="3" t="s">
        <v>306</v>
      </c>
      <c r="AH79" s="4">
        <f t="shared" si="3"/>
        <v>350421.86834857817</v>
      </c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>
        <v>326421.86834857817</v>
      </c>
      <c r="AV79" s="4">
        <v>24000</v>
      </c>
      <c r="AW79" s="4"/>
      <c r="AZ79" s="156">
        <f>+N79-'Приложение №4'!E74</f>
        <v>0</v>
      </c>
    </row>
    <row r="80" spans="1:52" ht="15" x14ac:dyDescent="0.25">
      <c r="A80" s="122">
        <f t="shared" si="4"/>
        <v>63</v>
      </c>
      <c r="B80" s="62">
        <f t="shared" si="5"/>
        <v>63</v>
      </c>
      <c r="C80" s="62" t="s">
        <v>82</v>
      </c>
      <c r="D80" s="62" t="s">
        <v>309</v>
      </c>
      <c r="E80" s="123" t="s">
        <v>120</v>
      </c>
      <c r="F80" s="123"/>
      <c r="G80" s="123" t="s">
        <v>99</v>
      </c>
      <c r="H80" s="123" t="s">
        <v>108</v>
      </c>
      <c r="I80" s="123" t="s">
        <v>109</v>
      </c>
      <c r="J80" s="64">
        <v>5149.1000000000004</v>
      </c>
      <c r="K80" s="64">
        <v>4753.8</v>
      </c>
      <c r="L80" s="64">
        <v>0</v>
      </c>
      <c r="M80" s="124">
        <v>197</v>
      </c>
      <c r="N80" s="95">
        <f t="shared" si="1"/>
        <v>628730.09</v>
      </c>
      <c r="O80" s="64">
        <v>0</v>
      </c>
      <c r="P80" s="64"/>
      <c r="Q80" s="64"/>
      <c r="R80" s="64">
        <f>+'[12]Приложение № 4'!E75</f>
        <v>628730.09</v>
      </c>
      <c r="S80" s="64"/>
      <c r="T80" s="64"/>
      <c r="U80" s="64">
        <f t="shared" si="7"/>
        <v>132.2584227354958</v>
      </c>
      <c r="V80" s="64">
        <f t="shared" si="7"/>
        <v>132.2584227354958</v>
      </c>
      <c r="W80" s="163" t="s">
        <v>495</v>
      </c>
      <c r="X80" s="156" t="e">
        <f>+N80-#REF!</f>
        <v>#REF!</v>
      </c>
      <c r="Y80" s="153">
        <v>1682430.89</v>
      </c>
      <c r="Z80" s="153">
        <f>+(K80*9.1+L80*18.19)*12</f>
        <v>519114.96</v>
      </c>
      <c r="AB80" s="156" t="e">
        <f>+N80-#REF!</f>
        <v>#REF!</v>
      </c>
      <c r="AC80" s="164">
        <f>+N80-'[12]Приложение № 4'!E75</f>
        <v>0</v>
      </c>
      <c r="AE80" s="165" t="e">
        <f>+N80-#REF!</f>
        <v>#REF!</v>
      </c>
      <c r="AG80" s="3" t="s">
        <v>309</v>
      </c>
      <c r="AH80" s="4">
        <f t="shared" si="3"/>
        <v>758870.05977599998</v>
      </c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>
        <v>734870.05977599998</v>
      </c>
      <c r="AV80" s="4">
        <v>24000</v>
      </c>
      <c r="AW80" s="4"/>
      <c r="AZ80" s="156">
        <f>+N80-'Приложение №4'!E75</f>
        <v>0</v>
      </c>
    </row>
    <row r="81" spans="1:52" ht="15" x14ac:dyDescent="0.25">
      <c r="A81" s="122">
        <f t="shared" si="4"/>
        <v>64</v>
      </c>
      <c r="B81" s="62">
        <f t="shared" si="5"/>
        <v>64</v>
      </c>
      <c r="C81" s="62" t="s">
        <v>82</v>
      </c>
      <c r="D81" s="62" t="s">
        <v>310</v>
      </c>
      <c r="E81" s="123" t="s">
        <v>121</v>
      </c>
      <c r="F81" s="123"/>
      <c r="G81" s="123" t="s">
        <v>99</v>
      </c>
      <c r="H81" s="123" t="s">
        <v>108</v>
      </c>
      <c r="I81" s="123" t="s">
        <v>105</v>
      </c>
      <c r="J81" s="64">
        <v>5827.1</v>
      </c>
      <c r="K81" s="64">
        <v>4881.1000000000004</v>
      </c>
      <c r="L81" s="64">
        <v>0</v>
      </c>
      <c r="M81" s="124">
        <v>218</v>
      </c>
      <c r="N81" s="95">
        <f t="shared" si="1"/>
        <v>679433.91</v>
      </c>
      <c r="O81" s="64">
        <v>0</v>
      </c>
      <c r="P81" s="64"/>
      <c r="Q81" s="64"/>
      <c r="R81" s="64">
        <f>+'[12]Приложение № 4'!E76</f>
        <v>679433.91</v>
      </c>
      <c r="S81" s="64"/>
      <c r="T81" s="64"/>
      <c r="U81" s="64">
        <f t="shared" si="7"/>
        <v>139.1968838991211</v>
      </c>
      <c r="V81" s="64">
        <f t="shared" si="7"/>
        <v>139.1968838991211</v>
      </c>
      <c r="W81" s="163" t="s">
        <v>495</v>
      </c>
      <c r="X81" s="156" t="e">
        <f>+N81-#REF!</f>
        <v>#REF!</v>
      </c>
      <c r="Y81" s="153">
        <v>1804336.89</v>
      </c>
      <c r="Z81" s="153">
        <f>+(K81*9.1+L81*18.19)*12</f>
        <v>533016.12</v>
      </c>
      <c r="AB81" s="156" t="e">
        <f>+N81-#REF!</f>
        <v>#REF!</v>
      </c>
      <c r="AC81" s="164">
        <f>+N81-'[12]Приложение № 4'!E76</f>
        <v>0</v>
      </c>
      <c r="AE81" s="165" t="e">
        <f>+N81-#REF!</f>
        <v>#REF!</v>
      </c>
      <c r="AG81" s="3" t="s">
        <v>310</v>
      </c>
      <c r="AH81" s="4">
        <f t="shared" si="3"/>
        <v>819091.30650210765</v>
      </c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>
        <v>795091.30650210765</v>
      </c>
      <c r="AV81" s="4">
        <v>24000</v>
      </c>
      <c r="AW81" s="4"/>
      <c r="AZ81" s="156">
        <f>+N81-'Приложение №4'!E76</f>
        <v>0</v>
      </c>
    </row>
    <row r="82" spans="1:52" ht="15" x14ac:dyDescent="0.25">
      <c r="A82" s="122">
        <f t="shared" si="4"/>
        <v>65</v>
      </c>
      <c r="B82" s="62">
        <f t="shared" si="5"/>
        <v>65</v>
      </c>
      <c r="C82" s="62" t="s">
        <v>82</v>
      </c>
      <c r="D82" s="62" t="s">
        <v>312</v>
      </c>
      <c r="E82" s="123" t="s">
        <v>112</v>
      </c>
      <c r="F82" s="123"/>
      <c r="G82" s="123" t="s">
        <v>96</v>
      </c>
      <c r="H82" s="123" t="s">
        <v>108</v>
      </c>
      <c r="I82" s="123" t="s">
        <v>98</v>
      </c>
      <c r="J82" s="64">
        <v>4389.3</v>
      </c>
      <c r="K82" s="64">
        <v>3138.9</v>
      </c>
      <c r="L82" s="64">
        <v>552.1</v>
      </c>
      <c r="M82" s="124">
        <v>201</v>
      </c>
      <c r="N82" s="95">
        <f t="shared" si="1"/>
        <v>352064.63038420893</v>
      </c>
      <c r="O82" s="64">
        <v>0</v>
      </c>
      <c r="P82" s="64"/>
      <c r="Q82" s="64"/>
      <c r="R82" s="64">
        <f>+'[12]Приложение № 4'!E77</f>
        <v>352064.63038420893</v>
      </c>
      <c r="S82" s="64"/>
      <c r="T82" s="64"/>
      <c r="U82" s="64">
        <f t="shared" si="7"/>
        <v>95.384619448444582</v>
      </c>
      <c r="V82" s="64">
        <f t="shared" si="7"/>
        <v>95.384619448444582</v>
      </c>
      <c r="W82" s="163" t="s">
        <v>495</v>
      </c>
      <c r="X82" s="156" t="e">
        <f>+N82-#REF!</f>
        <v>#REF!</v>
      </c>
      <c r="Y82" s="153">
        <v>1634259.01</v>
      </c>
      <c r="Z82" s="153">
        <f t="shared" ref="Z82:Z88" si="11">+(K82*9.1+L82*18.19)*12</f>
        <v>463280.26799999998</v>
      </c>
      <c r="AB82" s="156" t="e">
        <f>+N82-#REF!</f>
        <v>#REF!</v>
      </c>
      <c r="AC82" s="164">
        <f>+N82-'[12]Приложение № 4'!E77</f>
        <v>0</v>
      </c>
      <c r="AE82" s="165" t="e">
        <f>+N82-#REF!</f>
        <v>#REF!</v>
      </c>
      <c r="AG82" s="3" t="s">
        <v>312</v>
      </c>
      <c r="AH82" s="4">
        <f t="shared" si="3"/>
        <v>352064.63038420893</v>
      </c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>
        <v>328064.63038420893</v>
      </c>
      <c r="AV82" s="4">
        <v>24000</v>
      </c>
      <c r="AW82" s="4"/>
      <c r="AZ82" s="156">
        <f>+N82-'Приложение №4'!E77</f>
        <v>0</v>
      </c>
    </row>
    <row r="83" spans="1:52" ht="15" x14ac:dyDescent="0.25">
      <c r="A83" s="122">
        <f t="shared" si="4"/>
        <v>66</v>
      </c>
      <c r="B83" s="62">
        <f t="shared" si="5"/>
        <v>66</v>
      </c>
      <c r="C83" s="62" t="s">
        <v>82</v>
      </c>
      <c r="D83" s="62" t="s">
        <v>313</v>
      </c>
      <c r="E83" s="123" t="s">
        <v>112</v>
      </c>
      <c r="F83" s="123"/>
      <c r="G83" s="123" t="s">
        <v>96</v>
      </c>
      <c r="H83" s="123" t="s">
        <v>108</v>
      </c>
      <c r="I83" s="123" t="s">
        <v>98</v>
      </c>
      <c r="J83" s="64">
        <v>4462.5</v>
      </c>
      <c r="K83" s="64">
        <v>3471</v>
      </c>
      <c r="L83" s="64">
        <v>170.1</v>
      </c>
      <c r="M83" s="124">
        <v>217</v>
      </c>
      <c r="N83" s="95">
        <f t="shared" si="1"/>
        <v>355412.14547568292</v>
      </c>
      <c r="O83" s="64">
        <v>0</v>
      </c>
      <c r="P83" s="64"/>
      <c r="Q83" s="64"/>
      <c r="R83" s="64">
        <f>+'[12]Приложение № 4'!E78</f>
        <v>355412.14547568292</v>
      </c>
      <c r="S83" s="64"/>
      <c r="T83" s="64"/>
      <c r="U83" s="64">
        <f t="shared" si="7"/>
        <v>97.611201415968509</v>
      </c>
      <c r="V83" s="64">
        <f t="shared" si="7"/>
        <v>97.611201415968509</v>
      </c>
      <c r="W83" s="163" t="s">
        <v>495</v>
      </c>
      <c r="X83" s="156" t="e">
        <f>+N83-#REF!</f>
        <v>#REF!</v>
      </c>
      <c r="Y83" s="153">
        <v>1377063.59</v>
      </c>
      <c r="Z83" s="153">
        <f t="shared" si="11"/>
        <v>416162.62799999997</v>
      </c>
      <c r="AB83" s="156" t="e">
        <f>+N83-#REF!</f>
        <v>#REF!</v>
      </c>
      <c r="AC83" s="164">
        <f>+N83-'[12]Приложение № 4'!E78</f>
        <v>0</v>
      </c>
      <c r="AE83" s="165" t="e">
        <f>+N83-#REF!</f>
        <v>#REF!</v>
      </c>
      <c r="AG83" s="3" t="s">
        <v>313</v>
      </c>
      <c r="AH83" s="4">
        <f t="shared" si="3"/>
        <v>355412.14547568292</v>
      </c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>
        <v>331412.14547568292</v>
      </c>
      <c r="AV83" s="4">
        <v>24000</v>
      </c>
      <c r="AW83" s="4"/>
      <c r="AZ83" s="156">
        <f>+N83-'Приложение №4'!E78</f>
        <v>0</v>
      </c>
    </row>
    <row r="84" spans="1:52" ht="15" x14ac:dyDescent="0.25">
      <c r="A84" s="122">
        <f t="shared" ref="A84:A147" si="12">+A83+1</f>
        <v>67</v>
      </c>
      <c r="B84" s="62">
        <f t="shared" ref="B84:B147" si="13">+B83+1</f>
        <v>67</v>
      </c>
      <c r="C84" s="62" t="s">
        <v>82</v>
      </c>
      <c r="D84" s="62" t="s">
        <v>314</v>
      </c>
      <c r="E84" s="123" t="s">
        <v>112</v>
      </c>
      <c r="F84" s="123"/>
      <c r="G84" s="123" t="s">
        <v>96</v>
      </c>
      <c r="H84" s="123" t="s">
        <v>108</v>
      </c>
      <c r="I84" s="123" t="s">
        <v>98</v>
      </c>
      <c r="J84" s="64">
        <v>4420.2</v>
      </c>
      <c r="K84" s="64">
        <v>3129.6</v>
      </c>
      <c r="L84" s="64">
        <v>511</v>
      </c>
      <c r="M84" s="124">
        <v>210</v>
      </c>
      <c r="N84" s="95">
        <f t="shared" si="1"/>
        <v>354985.9572117221</v>
      </c>
      <c r="O84" s="64">
        <v>0</v>
      </c>
      <c r="P84" s="64"/>
      <c r="Q84" s="64"/>
      <c r="R84" s="64">
        <f>+'[12]Приложение № 4'!E79</f>
        <v>354985.9572117221</v>
      </c>
      <c r="S84" s="64"/>
      <c r="T84" s="64"/>
      <c r="U84" s="64">
        <f t="shared" si="7"/>
        <v>97.507541946855497</v>
      </c>
      <c r="V84" s="64">
        <f t="shared" si="7"/>
        <v>97.507541946855497</v>
      </c>
      <c r="W84" s="163" t="s">
        <v>495</v>
      </c>
      <c r="X84" s="156" t="e">
        <f>+N84-#REF!</f>
        <v>#REF!</v>
      </c>
      <c r="Y84" s="153">
        <v>1417117.69</v>
      </c>
      <c r="Z84" s="153">
        <f t="shared" si="11"/>
        <v>453293.39999999997</v>
      </c>
      <c r="AB84" s="156" t="e">
        <f>+N84-#REF!</f>
        <v>#REF!</v>
      </c>
      <c r="AC84" s="164">
        <f>+N84-'[12]Приложение № 4'!E79</f>
        <v>0</v>
      </c>
      <c r="AE84" s="165" t="e">
        <f>+N84-#REF!</f>
        <v>#REF!</v>
      </c>
      <c r="AG84" s="3" t="s">
        <v>314</v>
      </c>
      <c r="AH84" s="4">
        <f t="shared" si="3"/>
        <v>354985.9572117221</v>
      </c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>
        <v>330985.9572117221</v>
      </c>
      <c r="AV84" s="4">
        <v>24000</v>
      </c>
      <c r="AW84" s="4"/>
      <c r="AZ84" s="156">
        <f>+N84-'Приложение №4'!E79</f>
        <v>0</v>
      </c>
    </row>
    <row r="85" spans="1:52" ht="15" x14ac:dyDescent="0.25">
      <c r="A85" s="122">
        <f t="shared" si="12"/>
        <v>68</v>
      </c>
      <c r="B85" s="62">
        <f t="shared" si="13"/>
        <v>68</v>
      </c>
      <c r="C85" s="62" t="s">
        <v>82</v>
      </c>
      <c r="D85" s="62" t="s">
        <v>315</v>
      </c>
      <c r="E85" s="123" t="s">
        <v>112</v>
      </c>
      <c r="F85" s="123"/>
      <c r="G85" s="123" t="s">
        <v>96</v>
      </c>
      <c r="H85" s="123" t="s">
        <v>108</v>
      </c>
      <c r="I85" s="123" t="s">
        <v>98</v>
      </c>
      <c r="J85" s="64">
        <v>4500</v>
      </c>
      <c r="K85" s="64">
        <v>3129.6</v>
      </c>
      <c r="L85" s="64">
        <v>511</v>
      </c>
      <c r="M85" s="124">
        <v>197</v>
      </c>
      <c r="N85" s="95">
        <f t="shared" si="1"/>
        <v>330088.81371888478</v>
      </c>
      <c r="O85" s="64">
        <v>0</v>
      </c>
      <c r="P85" s="64"/>
      <c r="Q85" s="64"/>
      <c r="R85" s="64">
        <f>+'[12]Приложение № 4'!E80</f>
        <v>330088.81371888478</v>
      </c>
      <c r="S85" s="64"/>
      <c r="T85" s="64"/>
      <c r="U85" s="64">
        <f t="shared" si="7"/>
        <v>90.668794626952916</v>
      </c>
      <c r="V85" s="64">
        <f t="shared" si="7"/>
        <v>90.668794626952916</v>
      </c>
      <c r="W85" s="163" t="s">
        <v>495</v>
      </c>
      <c r="X85" s="156" t="e">
        <f>+N85-#REF!</f>
        <v>#REF!</v>
      </c>
      <c r="Y85" s="153">
        <v>1770121.38</v>
      </c>
      <c r="Z85" s="153">
        <f t="shared" si="11"/>
        <v>453293.39999999997</v>
      </c>
      <c r="AB85" s="156" t="e">
        <f>+N85-#REF!</f>
        <v>#REF!</v>
      </c>
      <c r="AC85" s="164">
        <f>+N85-'[12]Приложение № 4'!E80</f>
        <v>0</v>
      </c>
      <c r="AE85" s="165" t="e">
        <f>+N85-#REF!</f>
        <v>#REF!</v>
      </c>
      <c r="AG85" s="3" t="s">
        <v>315</v>
      </c>
      <c r="AH85" s="4">
        <f t="shared" si="3"/>
        <v>330088.81371888478</v>
      </c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>
        <v>306088.81371888478</v>
      </c>
      <c r="AV85" s="4">
        <v>24000</v>
      </c>
      <c r="AW85" s="4"/>
      <c r="AZ85" s="156">
        <f>+N85-'Приложение №4'!E80</f>
        <v>0</v>
      </c>
    </row>
    <row r="86" spans="1:52" ht="15" x14ac:dyDescent="0.25">
      <c r="A86" s="122">
        <f t="shared" si="12"/>
        <v>69</v>
      </c>
      <c r="B86" s="62">
        <f t="shared" si="13"/>
        <v>69</v>
      </c>
      <c r="C86" s="62" t="s">
        <v>82</v>
      </c>
      <c r="D86" s="62" t="s">
        <v>316</v>
      </c>
      <c r="E86" s="123" t="s">
        <v>112</v>
      </c>
      <c r="F86" s="123"/>
      <c r="G86" s="123" t="s">
        <v>96</v>
      </c>
      <c r="H86" s="123" t="s">
        <v>108</v>
      </c>
      <c r="I86" s="123" t="s">
        <v>98</v>
      </c>
      <c r="J86" s="64">
        <v>4432.1000000000004</v>
      </c>
      <c r="K86" s="64">
        <v>2918.4</v>
      </c>
      <c r="L86" s="64">
        <v>866.1</v>
      </c>
      <c r="M86" s="124">
        <v>169</v>
      </c>
      <c r="N86" s="95">
        <f t="shared" si="1"/>
        <v>364408.59228401899</v>
      </c>
      <c r="O86" s="64">
        <v>0</v>
      </c>
      <c r="P86" s="64"/>
      <c r="Q86" s="64"/>
      <c r="R86" s="64">
        <f>+'[12]Приложение № 4'!E81</f>
        <v>364408.59228401899</v>
      </c>
      <c r="S86" s="64"/>
      <c r="T86" s="64"/>
      <c r="U86" s="64">
        <f t="shared" si="7"/>
        <v>96.289758827855465</v>
      </c>
      <c r="V86" s="64">
        <f t="shared" si="7"/>
        <v>96.289758827855465</v>
      </c>
      <c r="W86" s="163" t="s">
        <v>495</v>
      </c>
      <c r="X86" s="156" t="e">
        <f>+N86-#REF!</f>
        <v>#REF!</v>
      </c>
      <c r="Y86" s="153">
        <v>1947108.45</v>
      </c>
      <c r="Z86" s="153">
        <f t="shared" si="11"/>
        <v>507741.58799999999</v>
      </c>
      <c r="AB86" s="156" t="e">
        <f>+N86-#REF!</f>
        <v>#REF!</v>
      </c>
      <c r="AC86" s="164">
        <f>+N86-'[12]Приложение № 4'!E81</f>
        <v>0</v>
      </c>
      <c r="AE86" s="165" t="e">
        <f>+N86-#REF!</f>
        <v>#REF!</v>
      </c>
      <c r="AG86" s="3" t="s">
        <v>316</v>
      </c>
      <c r="AH86" s="4">
        <f t="shared" si="3"/>
        <v>364408.59228401899</v>
      </c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>
        <v>340408.59228401899</v>
      </c>
      <c r="AV86" s="4">
        <v>24000</v>
      </c>
      <c r="AW86" s="4"/>
      <c r="AZ86" s="156">
        <f>+N86-'Приложение №4'!E81</f>
        <v>0</v>
      </c>
    </row>
    <row r="87" spans="1:52" ht="15" x14ac:dyDescent="0.25">
      <c r="A87" s="122">
        <f t="shared" si="12"/>
        <v>70</v>
      </c>
      <c r="B87" s="62">
        <f t="shared" si="13"/>
        <v>70</v>
      </c>
      <c r="C87" s="62" t="s">
        <v>82</v>
      </c>
      <c r="D87" s="62" t="s">
        <v>317</v>
      </c>
      <c r="E87" s="123" t="s">
        <v>133</v>
      </c>
      <c r="F87" s="123"/>
      <c r="G87" s="123" t="s">
        <v>99</v>
      </c>
      <c r="H87" s="123" t="s">
        <v>108</v>
      </c>
      <c r="I87" s="123" t="s">
        <v>105</v>
      </c>
      <c r="J87" s="64">
        <v>5739.5</v>
      </c>
      <c r="K87" s="64">
        <v>4789.3</v>
      </c>
      <c r="L87" s="64">
        <v>24</v>
      </c>
      <c r="M87" s="124">
        <v>191</v>
      </c>
      <c r="N87" s="95">
        <f t="shared" si="1"/>
        <v>382905.16293991776</v>
      </c>
      <c r="O87" s="64">
        <v>0</v>
      </c>
      <c r="P87" s="64"/>
      <c r="Q87" s="64"/>
      <c r="R87" s="64">
        <f>+'[12]Приложение № 4'!E82</f>
        <v>382905.16293991776</v>
      </c>
      <c r="S87" s="64"/>
      <c r="T87" s="64"/>
      <c r="U87" s="64">
        <f t="shared" si="7"/>
        <v>79.551485039352997</v>
      </c>
      <c r="V87" s="64">
        <f t="shared" si="7"/>
        <v>79.551485039352997</v>
      </c>
      <c r="W87" s="163" t="s">
        <v>495</v>
      </c>
      <c r="X87" s="156" t="e">
        <f>+N87-#REF!</f>
        <v>#REF!</v>
      </c>
      <c r="Y87" s="153">
        <v>1841185.19</v>
      </c>
      <c r="Z87" s="153">
        <f t="shared" si="11"/>
        <v>528230.27999999991</v>
      </c>
      <c r="AB87" s="156" t="e">
        <f>+N87-#REF!</f>
        <v>#REF!</v>
      </c>
      <c r="AC87" s="164">
        <f>+N87-'[12]Приложение № 4'!E82</f>
        <v>0</v>
      </c>
      <c r="AE87" s="165" t="e">
        <f>+N87-#REF!</f>
        <v>#REF!</v>
      </c>
      <c r="AG87" s="3" t="s">
        <v>317</v>
      </c>
      <c r="AH87" s="4">
        <f t="shared" si="3"/>
        <v>382905.16293991776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>
        <v>358905.16293991776</v>
      </c>
      <c r="AV87" s="4">
        <v>24000</v>
      </c>
      <c r="AW87" s="4"/>
      <c r="AZ87" s="156">
        <f>+N87-'Приложение №4'!E82</f>
        <v>0</v>
      </c>
    </row>
    <row r="88" spans="1:52" ht="15" x14ac:dyDescent="0.25">
      <c r="A88" s="122">
        <f t="shared" si="12"/>
        <v>71</v>
      </c>
      <c r="B88" s="62">
        <f t="shared" si="13"/>
        <v>71</v>
      </c>
      <c r="C88" s="62" t="s">
        <v>82</v>
      </c>
      <c r="D88" s="62" t="s">
        <v>318</v>
      </c>
      <c r="E88" s="123" t="s">
        <v>139</v>
      </c>
      <c r="F88" s="123"/>
      <c r="G88" s="123" t="s">
        <v>99</v>
      </c>
      <c r="H88" s="123" t="s">
        <v>108</v>
      </c>
      <c r="I88" s="123" t="s">
        <v>101</v>
      </c>
      <c r="J88" s="64">
        <v>4273.6000000000004</v>
      </c>
      <c r="K88" s="64">
        <v>3725.8</v>
      </c>
      <c r="L88" s="64">
        <v>0</v>
      </c>
      <c r="M88" s="124">
        <v>153</v>
      </c>
      <c r="N88" s="95">
        <f t="shared" si="1"/>
        <v>30258.98</v>
      </c>
      <c r="O88" s="64">
        <v>0</v>
      </c>
      <c r="P88" s="64"/>
      <c r="Q88" s="64"/>
      <c r="R88" s="64">
        <f>+'[12]Приложение № 4'!E83</f>
        <v>30258.98</v>
      </c>
      <c r="S88" s="64"/>
      <c r="T88" s="64"/>
      <c r="U88" s="64">
        <f t="shared" si="7"/>
        <v>8.1214718986526382</v>
      </c>
      <c r="V88" s="64">
        <f t="shared" si="7"/>
        <v>8.1214718986526382</v>
      </c>
      <c r="W88" s="163" t="s">
        <v>495</v>
      </c>
      <c r="X88" s="156" t="e">
        <f>+N88-#REF!</f>
        <v>#REF!</v>
      </c>
      <c r="Y88" s="153">
        <v>1462553.87</v>
      </c>
      <c r="Z88" s="153">
        <f t="shared" si="11"/>
        <v>406857.36</v>
      </c>
      <c r="AB88" s="156" t="e">
        <f>+N88-#REF!</f>
        <v>#REF!</v>
      </c>
      <c r="AC88" s="164">
        <f>+N88-'[12]Приложение № 4'!E83</f>
        <v>0</v>
      </c>
      <c r="AE88" s="165" t="e">
        <f>+N88-#REF!</f>
        <v>#REF!</v>
      </c>
      <c r="AG88" s="3" t="s">
        <v>318</v>
      </c>
      <c r="AH88" s="4">
        <f t="shared" si="3"/>
        <v>253358.97561599998</v>
      </c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>
        <v>229358.97561599998</v>
      </c>
      <c r="AV88" s="4">
        <v>24000</v>
      </c>
      <c r="AW88" s="4"/>
      <c r="AZ88" s="156">
        <f>+N88-'Приложение №4'!E83</f>
        <v>0</v>
      </c>
    </row>
    <row r="89" spans="1:52" ht="15" x14ac:dyDescent="0.25">
      <c r="A89" s="122">
        <f t="shared" si="12"/>
        <v>72</v>
      </c>
      <c r="B89" s="62">
        <f t="shared" si="13"/>
        <v>72</v>
      </c>
      <c r="C89" s="62" t="s">
        <v>82</v>
      </c>
      <c r="D89" s="62" t="s">
        <v>319</v>
      </c>
      <c r="E89" s="123" t="s">
        <v>139</v>
      </c>
      <c r="F89" s="123"/>
      <c r="G89" s="123" t="s">
        <v>99</v>
      </c>
      <c r="H89" s="123" t="s">
        <v>97</v>
      </c>
      <c r="I89" s="123" t="s">
        <v>102</v>
      </c>
      <c r="J89" s="64">
        <v>3004.4</v>
      </c>
      <c r="K89" s="64">
        <v>2676.9</v>
      </c>
      <c r="L89" s="64">
        <v>0</v>
      </c>
      <c r="M89" s="124">
        <v>97</v>
      </c>
      <c r="N89" s="95">
        <f t="shared" si="1"/>
        <v>570579.72</v>
      </c>
      <c r="O89" s="64">
        <v>0</v>
      </c>
      <c r="P89" s="64"/>
      <c r="Q89" s="64"/>
      <c r="R89" s="64">
        <f>+'[12]Приложение № 4'!E84</f>
        <v>570579.72</v>
      </c>
      <c r="S89" s="64"/>
      <c r="T89" s="64"/>
      <c r="U89" s="64">
        <f t="shared" si="7"/>
        <v>213.14943404684522</v>
      </c>
      <c r="V89" s="64">
        <f t="shared" si="7"/>
        <v>213.14943404684522</v>
      </c>
      <c r="W89" s="163" t="s">
        <v>495</v>
      </c>
      <c r="X89" s="156" t="e">
        <f>+N89-#REF!</f>
        <v>#REF!</v>
      </c>
      <c r="Y89" s="153">
        <v>1263411.33</v>
      </c>
      <c r="Z89" s="153">
        <f>+(K89*12.08+L89*20.47)*12</f>
        <v>388043.424</v>
      </c>
      <c r="AB89" s="156" t="e">
        <f>+N89-#REF!</f>
        <v>#REF!</v>
      </c>
      <c r="AC89" s="164">
        <f>+N89-'[12]Приложение № 4'!E84</f>
        <v>0</v>
      </c>
      <c r="AE89" s="165" t="e">
        <f>+N89-#REF!</f>
        <v>#REF!</v>
      </c>
      <c r="AG89" s="3" t="s">
        <v>319</v>
      </c>
      <c r="AH89" s="4">
        <f t="shared" si="3"/>
        <v>689804.44811015273</v>
      </c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>
        <v>665804.44811015273</v>
      </c>
      <c r="AV89" s="4">
        <v>24000</v>
      </c>
      <c r="AW89" s="4"/>
      <c r="AZ89" s="156">
        <f>+N89-'Приложение №4'!E84</f>
        <v>0</v>
      </c>
    </row>
    <row r="90" spans="1:52" ht="15" x14ac:dyDescent="0.25">
      <c r="A90" s="122">
        <f t="shared" si="12"/>
        <v>73</v>
      </c>
      <c r="B90" s="62">
        <f t="shared" si="13"/>
        <v>73</v>
      </c>
      <c r="C90" s="62" t="s">
        <v>82</v>
      </c>
      <c r="D90" s="62" t="s">
        <v>320</v>
      </c>
      <c r="E90" s="123" t="s">
        <v>113</v>
      </c>
      <c r="F90" s="123"/>
      <c r="G90" s="123" t="s">
        <v>99</v>
      </c>
      <c r="H90" s="123" t="s">
        <v>108</v>
      </c>
      <c r="I90" s="123" t="s">
        <v>100</v>
      </c>
      <c r="J90" s="64">
        <v>7607.3</v>
      </c>
      <c r="K90" s="64">
        <v>6394.7</v>
      </c>
      <c r="L90" s="64">
        <v>0</v>
      </c>
      <c r="M90" s="124">
        <v>267</v>
      </c>
      <c r="N90" s="95">
        <f t="shared" si="1"/>
        <v>356159.53</v>
      </c>
      <c r="O90" s="64">
        <v>0</v>
      </c>
      <c r="P90" s="64"/>
      <c r="Q90" s="64"/>
      <c r="R90" s="64">
        <f>+'[12]Приложение № 4'!E85</f>
        <v>356159.53</v>
      </c>
      <c r="S90" s="64"/>
      <c r="T90" s="64"/>
      <c r="U90" s="64">
        <f t="shared" si="7"/>
        <v>55.696049853785169</v>
      </c>
      <c r="V90" s="64">
        <f t="shared" si="7"/>
        <v>55.696049853785169</v>
      </c>
      <c r="W90" s="163" t="s">
        <v>495</v>
      </c>
      <c r="X90" s="156" t="e">
        <f>+N90-#REF!</f>
        <v>#REF!</v>
      </c>
      <c r="Y90" s="153">
        <v>2384458.14</v>
      </c>
      <c r="Z90" s="153">
        <f>+(K90*9.1+L90*18.19)*12</f>
        <v>698301.24</v>
      </c>
      <c r="AB90" s="156" t="e">
        <f>+N90-#REF!</f>
        <v>#REF!</v>
      </c>
      <c r="AC90" s="164">
        <f>+N90-'[12]Приложение № 4'!E85</f>
        <v>0</v>
      </c>
      <c r="AE90" s="165" t="e">
        <f>+N90-#REF!</f>
        <v>#REF!</v>
      </c>
      <c r="AG90" s="3" t="s">
        <v>320</v>
      </c>
      <c r="AH90" s="4">
        <f t="shared" si="3"/>
        <v>437511.50286958611</v>
      </c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>
        <v>413511.50286958611</v>
      </c>
      <c r="AV90" s="4">
        <v>24000</v>
      </c>
      <c r="AW90" s="4"/>
      <c r="AZ90" s="156">
        <f>+N90-'Приложение №4'!E85</f>
        <v>0</v>
      </c>
    </row>
    <row r="91" spans="1:52" ht="15" x14ac:dyDescent="0.25">
      <c r="A91" s="122">
        <f t="shared" si="12"/>
        <v>74</v>
      </c>
      <c r="B91" s="62">
        <f t="shared" si="13"/>
        <v>74</v>
      </c>
      <c r="C91" s="62" t="s">
        <v>82</v>
      </c>
      <c r="D91" s="62" t="s">
        <v>321</v>
      </c>
      <c r="E91" s="123" t="s">
        <v>113</v>
      </c>
      <c r="F91" s="123"/>
      <c r="G91" s="123" t="s">
        <v>99</v>
      </c>
      <c r="H91" s="123" t="s">
        <v>108</v>
      </c>
      <c r="I91" s="123" t="s">
        <v>101</v>
      </c>
      <c r="J91" s="64">
        <v>5069.3</v>
      </c>
      <c r="K91" s="64">
        <v>4292.8999999999996</v>
      </c>
      <c r="L91" s="64">
        <v>0</v>
      </c>
      <c r="M91" s="124">
        <v>170</v>
      </c>
      <c r="N91" s="95">
        <f t="shared" si="1"/>
        <v>315921.42</v>
      </c>
      <c r="O91" s="64">
        <v>0</v>
      </c>
      <c r="P91" s="64"/>
      <c r="Q91" s="64"/>
      <c r="R91" s="64">
        <f>+'[12]Приложение № 4'!E86</f>
        <v>315921.42</v>
      </c>
      <c r="S91" s="64"/>
      <c r="T91" s="64"/>
      <c r="U91" s="64">
        <f t="shared" si="7"/>
        <v>73.591609401570039</v>
      </c>
      <c r="V91" s="64">
        <f t="shared" si="7"/>
        <v>73.591609401570039</v>
      </c>
      <c r="W91" s="163" t="s">
        <v>495</v>
      </c>
      <c r="X91" s="156" t="e">
        <f>+N91-#REF!</f>
        <v>#REF!</v>
      </c>
      <c r="Y91" s="153">
        <v>1701147.27</v>
      </c>
      <c r="Z91" s="153">
        <f t="shared" ref="Z91:Z96" si="14">+(K91*9.1+L91*18.19)*12</f>
        <v>468784.67999999993</v>
      </c>
      <c r="AB91" s="156" t="e">
        <f>+N91-#REF!</f>
        <v>#REF!</v>
      </c>
      <c r="AC91" s="164">
        <f>+N91-'[12]Приложение № 4'!E86</f>
        <v>0</v>
      </c>
      <c r="AE91" s="165" t="e">
        <f>+N91-#REF!</f>
        <v>#REF!</v>
      </c>
      <c r="AG91" s="3" t="s">
        <v>321</v>
      </c>
      <c r="AH91" s="4">
        <f t="shared" si="3"/>
        <v>333544.8130957305</v>
      </c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>
        <v>309544.8130957305</v>
      </c>
      <c r="AV91" s="4">
        <v>24000</v>
      </c>
      <c r="AW91" s="4"/>
      <c r="AZ91" s="156">
        <f>+N91-'Приложение №4'!E86</f>
        <v>0</v>
      </c>
    </row>
    <row r="92" spans="1:52" ht="15" x14ac:dyDescent="0.25">
      <c r="A92" s="122">
        <f t="shared" si="12"/>
        <v>75</v>
      </c>
      <c r="B92" s="62">
        <f t="shared" si="13"/>
        <v>75</v>
      </c>
      <c r="C92" s="62" t="s">
        <v>82</v>
      </c>
      <c r="D92" s="62" t="s">
        <v>322</v>
      </c>
      <c r="E92" s="123" t="s">
        <v>133</v>
      </c>
      <c r="F92" s="123"/>
      <c r="G92" s="123" t="s">
        <v>99</v>
      </c>
      <c r="H92" s="123" t="s">
        <v>108</v>
      </c>
      <c r="I92" s="123" t="s">
        <v>108</v>
      </c>
      <c r="J92" s="64">
        <v>7124.7</v>
      </c>
      <c r="K92" s="64">
        <v>5719.3</v>
      </c>
      <c r="L92" s="64">
        <v>219.2</v>
      </c>
      <c r="M92" s="124">
        <v>248</v>
      </c>
      <c r="N92" s="95">
        <f t="shared" si="1"/>
        <v>398499.78</v>
      </c>
      <c r="O92" s="64">
        <v>0</v>
      </c>
      <c r="P92" s="64"/>
      <c r="Q92" s="64"/>
      <c r="R92" s="64">
        <f>+'[12]Приложение № 4'!E87</f>
        <v>398499.78</v>
      </c>
      <c r="S92" s="64"/>
      <c r="T92" s="64"/>
      <c r="U92" s="64">
        <f t="shared" si="7"/>
        <v>67.104450618843146</v>
      </c>
      <c r="V92" s="64">
        <f t="shared" si="7"/>
        <v>67.104450618843146</v>
      </c>
      <c r="W92" s="163" t="s">
        <v>495</v>
      </c>
      <c r="X92" s="156" t="e">
        <f>+N92-#REF!</f>
        <v>#REF!</v>
      </c>
      <c r="Y92" s="153">
        <v>2371732.48</v>
      </c>
      <c r="Z92" s="153">
        <f t="shared" si="14"/>
        <v>672394.53599999996</v>
      </c>
      <c r="AB92" s="156" t="e">
        <f>+N92-#REF!</f>
        <v>#REF!</v>
      </c>
      <c r="AC92" s="164">
        <f>+N92-'[12]Приложение № 4'!E87</f>
        <v>0</v>
      </c>
      <c r="AE92" s="165" t="e">
        <f>+N92-#REF!</f>
        <v>#REF!</v>
      </c>
      <c r="AG92" s="3" t="s">
        <v>322</v>
      </c>
      <c r="AH92" s="4">
        <f t="shared" si="3"/>
        <v>416558.53803776787</v>
      </c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>
        <v>392558.53803776787</v>
      </c>
      <c r="AV92" s="4">
        <v>24000</v>
      </c>
      <c r="AW92" s="4"/>
      <c r="AZ92" s="156">
        <f>+N92-'Приложение №4'!E87</f>
        <v>0</v>
      </c>
    </row>
    <row r="93" spans="1:52" ht="15" x14ac:dyDescent="0.25">
      <c r="A93" s="122">
        <f t="shared" si="12"/>
        <v>76</v>
      </c>
      <c r="B93" s="62">
        <f t="shared" si="13"/>
        <v>76</v>
      </c>
      <c r="C93" s="62" t="s">
        <v>82</v>
      </c>
      <c r="D93" s="62" t="s">
        <v>324</v>
      </c>
      <c r="E93" s="123" t="s">
        <v>110</v>
      </c>
      <c r="F93" s="123"/>
      <c r="G93" s="123" t="s">
        <v>99</v>
      </c>
      <c r="H93" s="123" t="s">
        <v>108</v>
      </c>
      <c r="I93" s="123" t="s">
        <v>105</v>
      </c>
      <c r="J93" s="64">
        <v>4063.4</v>
      </c>
      <c r="K93" s="64">
        <v>3702.9</v>
      </c>
      <c r="L93" s="64">
        <v>122.3</v>
      </c>
      <c r="M93" s="124">
        <v>192</v>
      </c>
      <c r="N93" s="95">
        <f t="shared" si="1"/>
        <v>569954.38</v>
      </c>
      <c r="O93" s="64">
        <v>0</v>
      </c>
      <c r="P93" s="64"/>
      <c r="Q93" s="64"/>
      <c r="R93" s="64">
        <f>+'[12]Приложение № 4'!E88</f>
        <v>569954.38</v>
      </c>
      <c r="S93" s="64"/>
      <c r="T93" s="64"/>
      <c r="U93" s="64">
        <f t="shared" si="7"/>
        <v>148.99989020181951</v>
      </c>
      <c r="V93" s="64">
        <f t="shared" si="7"/>
        <v>148.99989020181951</v>
      </c>
      <c r="W93" s="163" t="s">
        <v>495</v>
      </c>
      <c r="X93" s="156" t="e">
        <f>+N93-#REF!</f>
        <v>#REF!</v>
      </c>
      <c r="Y93" s="153">
        <v>1502168.03</v>
      </c>
      <c r="Z93" s="153">
        <f t="shared" si="14"/>
        <v>431052.32400000002</v>
      </c>
      <c r="AB93" s="156" t="e">
        <f>+N93-#REF!</f>
        <v>#REF!</v>
      </c>
      <c r="AC93" s="164">
        <f>+N93-'[12]Приложение № 4'!E88</f>
        <v>0</v>
      </c>
      <c r="AE93" s="165" t="e">
        <f>+N93-#REF!</f>
        <v>#REF!</v>
      </c>
      <c r="AG93" s="3" t="s">
        <v>324</v>
      </c>
      <c r="AH93" s="4">
        <f t="shared" si="3"/>
        <v>291003.76960208907</v>
      </c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>
        <v>267003.76960208907</v>
      </c>
      <c r="AV93" s="4">
        <v>24000</v>
      </c>
      <c r="AW93" s="4"/>
      <c r="AZ93" s="156">
        <f>+N93-'Приложение №4'!E88</f>
        <v>0</v>
      </c>
    </row>
    <row r="94" spans="1:52" ht="15" x14ac:dyDescent="0.25">
      <c r="A94" s="122">
        <f t="shared" si="12"/>
        <v>77</v>
      </c>
      <c r="B94" s="62">
        <f t="shared" si="13"/>
        <v>77</v>
      </c>
      <c r="C94" s="62" t="s">
        <v>82</v>
      </c>
      <c r="D94" s="62" t="s">
        <v>325</v>
      </c>
      <c r="E94" s="123" t="s">
        <v>113</v>
      </c>
      <c r="F94" s="123"/>
      <c r="G94" s="123" t="s">
        <v>99</v>
      </c>
      <c r="H94" s="123" t="s">
        <v>108</v>
      </c>
      <c r="I94" s="123" t="s">
        <v>105</v>
      </c>
      <c r="J94" s="64">
        <v>4471.8999999999996</v>
      </c>
      <c r="K94" s="64">
        <v>3757.6</v>
      </c>
      <c r="L94" s="64">
        <v>173.5</v>
      </c>
      <c r="M94" s="124">
        <v>156</v>
      </c>
      <c r="N94" s="95">
        <f t="shared" si="1"/>
        <v>335675.75441553449</v>
      </c>
      <c r="O94" s="64">
        <v>0</v>
      </c>
      <c r="P94" s="64"/>
      <c r="Q94" s="64"/>
      <c r="R94" s="64">
        <f>+'[12]Приложение № 4'!E89</f>
        <v>335675.75441553449</v>
      </c>
      <c r="S94" s="64"/>
      <c r="T94" s="64"/>
      <c r="U94" s="64">
        <f t="shared" si="7"/>
        <v>85.389777521694825</v>
      </c>
      <c r="V94" s="64">
        <f t="shared" si="7"/>
        <v>85.389777521694825</v>
      </c>
      <c r="W94" s="163" t="s">
        <v>495</v>
      </c>
      <c r="X94" s="156" t="e">
        <f>+N94-#REF!</f>
        <v>#REF!</v>
      </c>
      <c r="Y94" s="153">
        <v>1401842.4</v>
      </c>
      <c r="Z94" s="153">
        <f t="shared" si="14"/>
        <v>448201.5</v>
      </c>
      <c r="AB94" s="156" t="e">
        <f>+N94-#REF!</f>
        <v>#REF!</v>
      </c>
      <c r="AC94" s="164">
        <f>+N94-'[12]Приложение № 4'!E89</f>
        <v>0</v>
      </c>
      <c r="AE94" s="165" t="e">
        <f>+N94-#REF!</f>
        <v>#REF!</v>
      </c>
      <c r="AG94" s="3" t="s">
        <v>325</v>
      </c>
      <c r="AH94" s="4">
        <f t="shared" si="3"/>
        <v>335675.75441553449</v>
      </c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>
        <v>311675.75441553449</v>
      </c>
      <c r="AV94" s="4">
        <v>24000</v>
      </c>
      <c r="AW94" s="4"/>
      <c r="AZ94" s="156">
        <f>+N94-'Приложение №4'!E89</f>
        <v>0</v>
      </c>
    </row>
    <row r="95" spans="1:52" ht="15" x14ac:dyDescent="0.25">
      <c r="A95" s="122">
        <f t="shared" si="12"/>
        <v>78</v>
      </c>
      <c r="B95" s="62">
        <f t="shared" si="13"/>
        <v>78</v>
      </c>
      <c r="C95" s="62" t="s">
        <v>82</v>
      </c>
      <c r="D95" s="62" t="s">
        <v>327</v>
      </c>
      <c r="E95" s="123" t="s">
        <v>113</v>
      </c>
      <c r="F95" s="123"/>
      <c r="G95" s="123" t="s">
        <v>99</v>
      </c>
      <c r="H95" s="123" t="s">
        <v>108</v>
      </c>
      <c r="I95" s="123" t="s">
        <v>101</v>
      </c>
      <c r="J95" s="64">
        <v>5101.8</v>
      </c>
      <c r="K95" s="64">
        <v>4168</v>
      </c>
      <c r="L95" s="64">
        <v>159.30000000000001</v>
      </c>
      <c r="M95" s="124">
        <v>188</v>
      </c>
      <c r="N95" s="95">
        <f t="shared" si="1"/>
        <v>349563.7261175625</v>
      </c>
      <c r="O95" s="64">
        <v>0</v>
      </c>
      <c r="P95" s="64"/>
      <c r="Q95" s="64"/>
      <c r="R95" s="64">
        <f>+'[12]Приложение № 4'!E90</f>
        <v>349563.7261175625</v>
      </c>
      <c r="S95" s="64"/>
      <c r="T95" s="64"/>
      <c r="U95" s="64">
        <f t="shared" si="7"/>
        <v>80.781024222393285</v>
      </c>
      <c r="V95" s="64">
        <f t="shared" si="7"/>
        <v>80.781024222393285</v>
      </c>
      <c r="W95" s="163" t="s">
        <v>495</v>
      </c>
      <c r="X95" s="156" t="e">
        <f>+N95-#REF!</f>
        <v>#REF!</v>
      </c>
      <c r="Y95" s="153">
        <v>1684943.45</v>
      </c>
      <c r="Z95" s="153">
        <f t="shared" si="14"/>
        <v>489917.60399999993</v>
      </c>
      <c r="AB95" s="156" t="e">
        <f>+N95-#REF!</f>
        <v>#REF!</v>
      </c>
      <c r="AC95" s="164">
        <f>+N95-'[12]Приложение № 4'!E90</f>
        <v>0</v>
      </c>
      <c r="AE95" s="165" t="e">
        <f>+N95-#REF!</f>
        <v>#REF!</v>
      </c>
      <c r="AG95" s="3" t="s">
        <v>327</v>
      </c>
      <c r="AH95" s="4">
        <f t="shared" si="3"/>
        <v>349563.7261175625</v>
      </c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>
        <v>325563.7261175625</v>
      </c>
      <c r="AV95" s="4">
        <v>24000</v>
      </c>
      <c r="AW95" s="4"/>
      <c r="AZ95" s="156">
        <f>+N95-'Приложение №4'!E90</f>
        <v>0</v>
      </c>
    </row>
    <row r="96" spans="1:52" ht="15" x14ac:dyDescent="0.25">
      <c r="A96" s="122">
        <f t="shared" si="12"/>
        <v>79</v>
      </c>
      <c r="B96" s="62">
        <f t="shared" si="13"/>
        <v>79</v>
      </c>
      <c r="C96" s="62" t="s">
        <v>82</v>
      </c>
      <c r="D96" s="62" t="s">
        <v>328</v>
      </c>
      <c r="E96" s="123" t="s">
        <v>113</v>
      </c>
      <c r="F96" s="123"/>
      <c r="G96" s="123" t="s">
        <v>99</v>
      </c>
      <c r="H96" s="123" t="s">
        <v>108</v>
      </c>
      <c r="I96" s="123" t="s">
        <v>105</v>
      </c>
      <c r="J96" s="64">
        <v>4470.7</v>
      </c>
      <c r="K96" s="64">
        <v>3913.1</v>
      </c>
      <c r="L96" s="64">
        <v>0</v>
      </c>
      <c r="M96" s="124">
        <v>167</v>
      </c>
      <c r="N96" s="95">
        <f t="shared" si="1"/>
        <v>341642.39011098578</v>
      </c>
      <c r="O96" s="64">
        <v>0</v>
      </c>
      <c r="P96" s="64"/>
      <c r="Q96" s="64"/>
      <c r="R96" s="64">
        <f>+'[12]Приложение № 4'!E91</f>
        <v>341642.39011098578</v>
      </c>
      <c r="S96" s="64"/>
      <c r="T96" s="64"/>
      <c r="U96" s="64">
        <f t="shared" si="7"/>
        <v>87.307349699978474</v>
      </c>
      <c r="V96" s="64">
        <f t="shared" si="7"/>
        <v>87.307349699978474</v>
      </c>
      <c r="W96" s="163" t="s">
        <v>495</v>
      </c>
      <c r="X96" s="156" t="e">
        <f>+N96-#REF!</f>
        <v>#REF!</v>
      </c>
      <c r="Y96" s="153">
        <v>1394719.15</v>
      </c>
      <c r="Z96" s="153">
        <f t="shared" si="14"/>
        <v>427310.52</v>
      </c>
      <c r="AB96" s="156" t="e">
        <f>+N96-#REF!</f>
        <v>#REF!</v>
      </c>
      <c r="AC96" s="164">
        <f>+N96-'[12]Приложение № 4'!E91</f>
        <v>0</v>
      </c>
      <c r="AE96" s="165" t="e">
        <f>+N96-#REF!</f>
        <v>#REF!</v>
      </c>
      <c r="AG96" s="3" t="s">
        <v>328</v>
      </c>
      <c r="AH96" s="4">
        <f t="shared" si="3"/>
        <v>341642.39011098578</v>
      </c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>
        <v>317642.39011098578</v>
      </c>
      <c r="AV96" s="4">
        <v>24000</v>
      </c>
      <c r="AW96" s="4"/>
      <c r="AZ96" s="156">
        <f>+N96-'Приложение №4'!E91</f>
        <v>0</v>
      </c>
    </row>
    <row r="97" spans="1:52" ht="15" x14ac:dyDescent="0.25">
      <c r="A97" s="122">
        <f t="shared" si="12"/>
        <v>80</v>
      </c>
      <c r="B97" s="62">
        <f t="shared" si="13"/>
        <v>80</v>
      </c>
      <c r="C97" s="62" t="s">
        <v>82</v>
      </c>
      <c r="D97" s="62" t="s">
        <v>329</v>
      </c>
      <c r="E97" s="123" t="s">
        <v>107</v>
      </c>
      <c r="F97" s="123"/>
      <c r="G97" s="123" t="s">
        <v>99</v>
      </c>
      <c r="H97" s="123" t="s">
        <v>97</v>
      </c>
      <c r="I97" s="123" t="s">
        <v>98</v>
      </c>
      <c r="J97" s="64">
        <v>5825.9</v>
      </c>
      <c r="K97" s="64">
        <v>4975.7</v>
      </c>
      <c r="L97" s="64">
        <v>0</v>
      </c>
      <c r="M97" s="124">
        <v>169</v>
      </c>
      <c r="N97" s="95">
        <f t="shared" si="1"/>
        <v>459705.43000000005</v>
      </c>
      <c r="O97" s="64">
        <v>0</v>
      </c>
      <c r="P97" s="64"/>
      <c r="Q97" s="64"/>
      <c r="R97" s="64">
        <f>+'[12]Приложение № 4'!E92</f>
        <v>459705.43000000005</v>
      </c>
      <c r="S97" s="64"/>
      <c r="T97" s="64"/>
      <c r="U97" s="64">
        <f t="shared" si="7"/>
        <v>92.390101895210734</v>
      </c>
      <c r="V97" s="64">
        <f t="shared" si="7"/>
        <v>92.390101895210734</v>
      </c>
      <c r="W97" s="163" t="s">
        <v>495</v>
      </c>
      <c r="X97" s="156" t="e">
        <f>+N97-#REF!</f>
        <v>#REF!</v>
      </c>
      <c r="Y97" s="153">
        <v>2408877.7400000002</v>
      </c>
      <c r="Z97" s="153">
        <f>+(K97*12.08+L97*20.47)*12</f>
        <v>721277.47199999995</v>
      </c>
      <c r="AB97" s="156" t="e">
        <f>+N97-#REF!</f>
        <v>#REF!</v>
      </c>
      <c r="AC97" s="164">
        <f>+N97-'[12]Приложение № 4'!E92</f>
        <v>0</v>
      </c>
      <c r="AE97" s="165" t="e">
        <f>+N97-#REF!</f>
        <v>#REF!</v>
      </c>
      <c r="AG97" s="3" t="s">
        <v>329</v>
      </c>
      <c r="AH97" s="4">
        <f t="shared" si="3"/>
        <v>476076.3150912</v>
      </c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>
        <v>452076.3150912</v>
      </c>
      <c r="AV97" s="4">
        <v>24000</v>
      </c>
      <c r="AW97" s="4"/>
      <c r="AZ97" s="156">
        <f>+N97-'Приложение №4'!E92</f>
        <v>0</v>
      </c>
    </row>
    <row r="98" spans="1:52" ht="15" x14ac:dyDescent="0.25">
      <c r="A98" s="122">
        <f t="shared" si="12"/>
        <v>81</v>
      </c>
      <c r="B98" s="62">
        <f t="shared" si="13"/>
        <v>81</v>
      </c>
      <c r="C98" s="62" t="s">
        <v>82</v>
      </c>
      <c r="D98" s="62" t="s">
        <v>330</v>
      </c>
      <c r="E98" s="123" t="s">
        <v>95</v>
      </c>
      <c r="F98" s="123"/>
      <c r="G98" s="123" t="s">
        <v>96</v>
      </c>
      <c r="H98" s="123" t="s">
        <v>101</v>
      </c>
      <c r="I98" s="123" t="s">
        <v>98</v>
      </c>
      <c r="J98" s="64">
        <v>1216.0999999999999</v>
      </c>
      <c r="K98" s="64">
        <v>889.8</v>
      </c>
      <c r="L98" s="64">
        <v>166.2</v>
      </c>
      <c r="M98" s="124">
        <v>29</v>
      </c>
      <c r="N98" s="95">
        <f t="shared" si="1"/>
        <v>166703.26</v>
      </c>
      <c r="O98" s="64">
        <v>0</v>
      </c>
      <c r="P98" s="64"/>
      <c r="Q98" s="64"/>
      <c r="R98" s="64">
        <f>+'[12]Приложение № 4'!E93</f>
        <v>166703.26</v>
      </c>
      <c r="S98" s="64"/>
      <c r="T98" s="64"/>
      <c r="U98" s="64">
        <f t="shared" ref="U98:V161" si="15">$N98/($K98+$L98)</f>
        <v>157.8629356060606</v>
      </c>
      <c r="V98" s="64">
        <f t="shared" si="15"/>
        <v>157.8629356060606</v>
      </c>
      <c r="W98" s="163" t="s">
        <v>495</v>
      </c>
      <c r="X98" s="156" t="e">
        <f>+N98-#REF!</f>
        <v>#REF!</v>
      </c>
      <c r="Y98" s="153">
        <v>425951.24</v>
      </c>
      <c r="Z98" s="153">
        <f>+(K98*9.1+L98*18.19)*12</f>
        <v>133444.296</v>
      </c>
      <c r="AB98" s="156" t="e">
        <f>+N98-#REF!</f>
        <v>#REF!</v>
      </c>
      <c r="AC98" s="164">
        <f>+N98-'[12]Приложение № 4'!E93</f>
        <v>0</v>
      </c>
      <c r="AE98" s="165" t="e">
        <f>+N98-#REF!</f>
        <v>#REF!</v>
      </c>
      <c r="AG98" s="3" t="s">
        <v>330</v>
      </c>
      <c r="AH98" s="4">
        <f t="shared" si="3"/>
        <v>183539.96989601065</v>
      </c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>
        <v>159539.96989601065</v>
      </c>
      <c r="AV98" s="4">
        <v>24000</v>
      </c>
      <c r="AW98" s="4"/>
      <c r="AZ98" s="156">
        <f>+N98-'Приложение №4'!E93</f>
        <v>0</v>
      </c>
    </row>
    <row r="99" spans="1:52" ht="15" x14ac:dyDescent="0.25">
      <c r="A99" s="122">
        <f t="shared" si="12"/>
        <v>82</v>
      </c>
      <c r="B99" s="62">
        <f t="shared" si="13"/>
        <v>82</v>
      </c>
      <c r="C99" s="62" t="s">
        <v>82</v>
      </c>
      <c r="D99" s="62" t="s">
        <v>332</v>
      </c>
      <c r="E99" s="123" t="s">
        <v>111</v>
      </c>
      <c r="F99" s="123"/>
      <c r="G99" s="123" t="s">
        <v>96</v>
      </c>
      <c r="H99" s="123" t="s">
        <v>105</v>
      </c>
      <c r="I99" s="123" t="s">
        <v>109</v>
      </c>
      <c r="J99" s="64">
        <v>4099.3999999999996</v>
      </c>
      <c r="K99" s="64">
        <v>3644.9</v>
      </c>
      <c r="L99" s="64">
        <v>0</v>
      </c>
      <c r="M99" s="124">
        <v>159</v>
      </c>
      <c r="N99" s="95">
        <f t="shared" si="1"/>
        <v>173573.47</v>
      </c>
      <c r="O99" s="64">
        <v>0</v>
      </c>
      <c r="P99" s="64"/>
      <c r="Q99" s="64"/>
      <c r="R99" s="64">
        <f>+'[12]Приложение № 4'!E94</f>
        <v>173573.47</v>
      </c>
      <c r="S99" s="64"/>
      <c r="T99" s="64"/>
      <c r="U99" s="64">
        <f t="shared" si="15"/>
        <v>47.620914154023431</v>
      </c>
      <c r="V99" s="64">
        <f t="shared" si="15"/>
        <v>47.620914154023431</v>
      </c>
      <c r="W99" s="163" t="s">
        <v>495</v>
      </c>
      <c r="X99" s="156" t="e">
        <f>+N99-#REF!</f>
        <v>#REF!</v>
      </c>
      <c r="Y99" s="153">
        <v>1466210.72</v>
      </c>
      <c r="Z99" s="153">
        <f>+(K99*9.1+L99*18.19)*12</f>
        <v>398023.07999999996</v>
      </c>
      <c r="AB99" s="156" t="e">
        <f>+N99-#REF!</f>
        <v>#REF!</v>
      </c>
      <c r="AC99" s="164">
        <f>+N99-'[12]Приложение № 4'!E94</f>
        <v>0</v>
      </c>
      <c r="AE99" s="165" t="e">
        <f>+N99-#REF!</f>
        <v>#REF!</v>
      </c>
      <c r="AG99" s="3" t="s">
        <v>332</v>
      </c>
      <c r="AH99" s="4">
        <f t="shared" si="3"/>
        <v>190446.37900800002</v>
      </c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>
        <v>166446.37900800002</v>
      </c>
      <c r="AV99" s="4">
        <v>24000</v>
      </c>
      <c r="AW99" s="4"/>
      <c r="AZ99" s="156">
        <f>+N99-'Приложение №4'!E94</f>
        <v>0</v>
      </c>
    </row>
    <row r="100" spans="1:52" ht="15" x14ac:dyDescent="0.25">
      <c r="A100" s="122">
        <f t="shared" si="12"/>
        <v>83</v>
      </c>
      <c r="B100" s="62">
        <f t="shared" si="13"/>
        <v>83</v>
      </c>
      <c r="C100" s="62" t="s">
        <v>82</v>
      </c>
      <c r="D100" s="62" t="s">
        <v>333</v>
      </c>
      <c r="E100" s="123" t="s">
        <v>106</v>
      </c>
      <c r="F100" s="123"/>
      <c r="G100" s="123" t="s">
        <v>96</v>
      </c>
      <c r="H100" s="123" t="s">
        <v>101</v>
      </c>
      <c r="I100" s="123" t="s">
        <v>108</v>
      </c>
      <c r="J100" s="64">
        <v>2965.1</v>
      </c>
      <c r="K100" s="64">
        <v>2646.6</v>
      </c>
      <c r="L100" s="64">
        <v>0</v>
      </c>
      <c r="M100" s="124">
        <v>91</v>
      </c>
      <c r="N100" s="95">
        <f t="shared" si="1"/>
        <v>779598.42999999993</v>
      </c>
      <c r="O100" s="64">
        <v>0</v>
      </c>
      <c r="P100" s="64"/>
      <c r="Q100" s="64"/>
      <c r="R100" s="64">
        <f>+'[12]Приложение № 4'!E95</f>
        <v>779598.42999999993</v>
      </c>
      <c r="S100" s="64"/>
      <c r="T100" s="64"/>
      <c r="U100" s="64">
        <f t="shared" si="15"/>
        <v>294.56602055467391</v>
      </c>
      <c r="V100" s="64">
        <f t="shared" si="15"/>
        <v>294.56602055467391</v>
      </c>
      <c r="W100" s="163" t="s">
        <v>495</v>
      </c>
      <c r="X100" s="156" t="e">
        <f>+N100-#REF!</f>
        <v>#REF!</v>
      </c>
      <c r="Y100" s="153">
        <v>880695.16</v>
      </c>
      <c r="Z100" s="153">
        <f>+(K100*9.1+L100*18.19)*12</f>
        <v>289008.71999999997</v>
      </c>
      <c r="AB100" s="156" t="e">
        <f>+N100-#REF!</f>
        <v>#REF!</v>
      </c>
      <c r="AC100" s="164">
        <f>+N100-'[12]Приложение № 4'!E95</f>
        <v>0</v>
      </c>
      <c r="AE100" s="165" t="e">
        <f>+N100-#REF!</f>
        <v>#REF!</v>
      </c>
      <c r="AG100" s="3" t="s">
        <v>333</v>
      </c>
      <c r="AH100" s="4">
        <f t="shared" si="3"/>
        <v>795645.28345037275</v>
      </c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>
        <v>771645.28345037275</v>
      </c>
      <c r="AV100" s="4">
        <v>24000</v>
      </c>
      <c r="AW100" s="4"/>
      <c r="AZ100" s="156">
        <f>+N100-'Приложение №4'!E95</f>
        <v>0</v>
      </c>
    </row>
    <row r="101" spans="1:52" ht="15" x14ac:dyDescent="0.25">
      <c r="A101" s="122">
        <f t="shared" si="12"/>
        <v>84</v>
      </c>
      <c r="B101" s="62">
        <f t="shared" si="13"/>
        <v>84</v>
      </c>
      <c r="C101" s="62" t="s">
        <v>82</v>
      </c>
      <c r="D101" s="62" t="s">
        <v>336</v>
      </c>
      <c r="E101" s="123" t="s">
        <v>95</v>
      </c>
      <c r="F101" s="123"/>
      <c r="G101" s="123" t="s">
        <v>99</v>
      </c>
      <c r="H101" s="123" t="s">
        <v>482</v>
      </c>
      <c r="I101" s="123" t="s">
        <v>102</v>
      </c>
      <c r="J101" s="64">
        <v>3282.5</v>
      </c>
      <c r="K101" s="64">
        <v>2809.1</v>
      </c>
      <c r="L101" s="64">
        <v>0</v>
      </c>
      <c r="M101" s="124">
        <v>98</v>
      </c>
      <c r="N101" s="95">
        <f t="shared" si="1"/>
        <v>1035363.46</v>
      </c>
      <c r="O101" s="64">
        <v>0</v>
      </c>
      <c r="P101" s="64"/>
      <c r="Q101" s="64"/>
      <c r="R101" s="64">
        <f>+'[12]Приложение № 4'!E96</f>
        <v>1035363.46</v>
      </c>
      <c r="S101" s="64"/>
      <c r="T101" s="64"/>
      <c r="U101" s="64">
        <f t="shared" si="15"/>
        <v>368.57479619807054</v>
      </c>
      <c r="V101" s="64">
        <f t="shared" si="15"/>
        <v>368.57479619807054</v>
      </c>
      <c r="W101" s="163" t="s">
        <v>495</v>
      </c>
      <c r="X101" s="156" t="e">
        <f>+N101-#REF!</f>
        <v>#REF!</v>
      </c>
      <c r="Y101" s="153">
        <v>1388938.36</v>
      </c>
      <c r="Z101" s="153">
        <f>+(K101*12.08+L101*20.47)*12</f>
        <v>407207.136</v>
      </c>
      <c r="AB101" s="156" t="e">
        <f>+N101-#REF!</f>
        <v>#REF!</v>
      </c>
      <c r="AC101" s="164">
        <f>+N101-'[12]Приложение № 4'!E96</f>
        <v>0</v>
      </c>
      <c r="AE101" s="165" t="e">
        <f>+N101-#REF!</f>
        <v>#REF!</v>
      </c>
      <c r="AG101" s="3" t="s">
        <v>336</v>
      </c>
      <c r="AH101" s="4">
        <f t="shared" si="3"/>
        <v>1065535.6985663997</v>
      </c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>
        <v>1041535.6985663997</v>
      </c>
      <c r="AV101" s="4">
        <v>24000</v>
      </c>
      <c r="AW101" s="4"/>
      <c r="AZ101" s="156">
        <f>+N101-'Приложение №4'!E96</f>
        <v>0</v>
      </c>
    </row>
    <row r="102" spans="1:52" ht="15" x14ac:dyDescent="0.25">
      <c r="A102" s="122">
        <f t="shared" si="12"/>
        <v>85</v>
      </c>
      <c r="B102" s="62">
        <f t="shared" si="13"/>
        <v>85</v>
      </c>
      <c r="C102" s="62" t="s">
        <v>82</v>
      </c>
      <c r="D102" s="62" t="s">
        <v>337</v>
      </c>
      <c r="E102" s="123" t="s">
        <v>119</v>
      </c>
      <c r="F102" s="123"/>
      <c r="G102" s="123" t="s">
        <v>99</v>
      </c>
      <c r="H102" s="123" t="s">
        <v>97</v>
      </c>
      <c r="I102" s="123" t="s">
        <v>102</v>
      </c>
      <c r="J102" s="64">
        <v>2767.8</v>
      </c>
      <c r="K102" s="64">
        <v>2151.1999999999998</v>
      </c>
      <c r="L102" s="64">
        <v>70</v>
      </c>
      <c r="M102" s="124">
        <v>94</v>
      </c>
      <c r="N102" s="95">
        <f t="shared" si="1"/>
        <v>412442.82787746476</v>
      </c>
      <c r="O102" s="64">
        <v>0</v>
      </c>
      <c r="P102" s="64"/>
      <c r="Q102" s="64"/>
      <c r="R102" s="64">
        <f>+'[12]Приложение № 4'!E97</f>
        <v>412442.82787746476</v>
      </c>
      <c r="S102" s="64"/>
      <c r="T102" s="64"/>
      <c r="U102" s="64">
        <f t="shared" si="15"/>
        <v>185.68468750110966</v>
      </c>
      <c r="V102" s="64">
        <f t="shared" si="15"/>
        <v>185.68468750110966</v>
      </c>
      <c r="W102" s="163" t="s">
        <v>495</v>
      </c>
      <c r="X102" s="156" t="e">
        <f>+N102-#REF!</f>
        <v>#REF!</v>
      </c>
      <c r="Y102" s="153">
        <v>1058746.51</v>
      </c>
      <c r="Z102" s="153">
        <f>+(K102*12.08+L102*20.47)*12</f>
        <v>329032.75199999998</v>
      </c>
      <c r="AB102" s="156" t="e">
        <f>+N102-#REF!</f>
        <v>#REF!</v>
      </c>
      <c r="AC102" s="164">
        <f>+N102-'[12]Приложение № 4'!E97</f>
        <v>0</v>
      </c>
      <c r="AE102" s="165" t="e">
        <f>+N102-#REF!</f>
        <v>#REF!</v>
      </c>
      <c r="AG102" s="3" t="s">
        <v>337</v>
      </c>
      <c r="AH102" s="4">
        <f t="shared" si="3"/>
        <v>412442.82787746476</v>
      </c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>
        <v>388442.82787746476</v>
      </c>
      <c r="AV102" s="4">
        <v>24000</v>
      </c>
      <c r="AW102" s="4"/>
      <c r="AZ102" s="156">
        <f>+N102-'Приложение №4'!E97</f>
        <v>0</v>
      </c>
    </row>
    <row r="103" spans="1:52" ht="15" x14ac:dyDescent="0.25">
      <c r="A103" s="122">
        <f t="shared" si="12"/>
        <v>86</v>
      </c>
      <c r="B103" s="62">
        <f t="shared" si="13"/>
        <v>86</v>
      </c>
      <c r="C103" s="62" t="s">
        <v>82</v>
      </c>
      <c r="D103" s="62" t="s">
        <v>338</v>
      </c>
      <c r="E103" s="123" t="s">
        <v>120</v>
      </c>
      <c r="F103" s="123"/>
      <c r="G103" s="123" t="s">
        <v>99</v>
      </c>
      <c r="H103" s="123" t="s">
        <v>108</v>
      </c>
      <c r="I103" s="123" t="s">
        <v>109</v>
      </c>
      <c r="J103" s="64">
        <v>5142.8999999999996</v>
      </c>
      <c r="K103" s="64">
        <v>4554.5</v>
      </c>
      <c r="L103" s="64">
        <v>36.1</v>
      </c>
      <c r="M103" s="124">
        <v>203</v>
      </c>
      <c r="N103" s="95">
        <f t="shared" si="1"/>
        <v>314561.06</v>
      </c>
      <c r="O103" s="64">
        <v>0</v>
      </c>
      <c r="P103" s="64"/>
      <c r="Q103" s="64"/>
      <c r="R103" s="64">
        <f>+'[12]Приложение № 4'!E98</f>
        <v>314561.06</v>
      </c>
      <c r="S103" s="64"/>
      <c r="T103" s="64"/>
      <c r="U103" s="64">
        <f t="shared" si="15"/>
        <v>68.522864113623484</v>
      </c>
      <c r="V103" s="64">
        <f t="shared" si="15"/>
        <v>68.522864113623484</v>
      </c>
      <c r="W103" s="163" t="s">
        <v>495</v>
      </c>
      <c r="X103" s="156" t="e">
        <f>+N103-#REF!</f>
        <v>#REF!</v>
      </c>
      <c r="Y103" s="153">
        <v>1766007.43</v>
      </c>
      <c r="Z103" s="153">
        <f>+(K103*9.1+L103*18.19)*12</f>
        <v>505231.30799999996</v>
      </c>
      <c r="AB103" s="156" t="e">
        <f>+N103-#REF!</f>
        <v>#REF!</v>
      </c>
      <c r="AC103" s="164">
        <f>+N103-'[12]Приложение № 4'!E98</f>
        <v>0</v>
      </c>
      <c r="AE103" s="165" t="e">
        <f>+N103-#REF!</f>
        <v>#REF!</v>
      </c>
      <c r="AG103" s="3" t="s">
        <v>338</v>
      </c>
      <c r="AH103" s="4">
        <f t="shared" si="3"/>
        <v>335396.21088825248</v>
      </c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>
        <v>311396.21088825248</v>
      </c>
      <c r="AV103" s="4">
        <v>24000</v>
      </c>
      <c r="AW103" s="4"/>
      <c r="AZ103" s="156">
        <f>+N103-'Приложение №4'!E98</f>
        <v>0</v>
      </c>
    </row>
    <row r="104" spans="1:52" ht="15" x14ac:dyDescent="0.25">
      <c r="A104" s="122">
        <f t="shared" si="12"/>
        <v>87</v>
      </c>
      <c r="B104" s="62">
        <f t="shared" si="13"/>
        <v>87</v>
      </c>
      <c r="C104" s="62" t="s">
        <v>82</v>
      </c>
      <c r="D104" s="62" t="s">
        <v>339</v>
      </c>
      <c r="E104" s="123" t="s">
        <v>121</v>
      </c>
      <c r="F104" s="123"/>
      <c r="G104" s="123" t="s">
        <v>99</v>
      </c>
      <c r="H104" s="123" t="s">
        <v>108</v>
      </c>
      <c r="I104" s="123" t="s">
        <v>100</v>
      </c>
      <c r="J104" s="64">
        <v>6799</v>
      </c>
      <c r="K104" s="64">
        <v>6062.4</v>
      </c>
      <c r="L104" s="64">
        <v>0</v>
      </c>
      <c r="M104" s="124">
        <v>253</v>
      </c>
      <c r="N104" s="95">
        <f t="shared" si="1"/>
        <v>816121.81</v>
      </c>
      <c r="O104" s="64">
        <v>0</v>
      </c>
      <c r="P104" s="64"/>
      <c r="Q104" s="64"/>
      <c r="R104" s="64">
        <f>+'[12]Приложение № 4'!E99</f>
        <v>816121.81</v>
      </c>
      <c r="S104" s="64"/>
      <c r="T104" s="64"/>
      <c r="U104" s="64">
        <f t="shared" si="15"/>
        <v>134.62025105568753</v>
      </c>
      <c r="V104" s="64">
        <f t="shared" si="15"/>
        <v>134.62025105568753</v>
      </c>
      <c r="W104" s="163" t="s">
        <v>495</v>
      </c>
      <c r="X104" s="156" t="e">
        <f>+N104-#REF!</f>
        <v>#REF!</v>
      </c>
      <c r="Y104" s="153">
        <v>2296069.29</v>
      </c>
      <c r="Z104" s="153">
        <f>+(K104*9.1+L104*18.19)*12</f>
        <v>662014.07999999996</v>
      </c>
      <c r="AB104" s="156" t="e">
        <f>+N104-#REF!</f>
        <v>#REF!</v>
      </c>
      <c r="AC104" s="164">
        <f>+N104-'[12]Приложение № 4'!E99</f>
        <v>0</v>
      </c>
      <c r="AE104" s="165" t="e">
        <f>+N104-#REF!</f>
        <v>#REF!</v>
      </c>
      <c r="AG104" s="3" t="s">
        <v>339</v>
      </c>
      <c r="AH104" s="4">
        <f t="shared" si="3"/>
        <v>842836.14182399993</v>
      </c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>
        <v>818836.14182399993</v>
      </c>
      <c r="AV104" s="4">
        <v>24000</v>
      </c>
      <c r="AW104" s="4"/>
      <c r="AZ104" s="156">
        <f>+N104-'Приложение №4'!E99</f>
        <v>0</v>
      </c>
    </row>
    <row r="105" spans="1:52" ht="15" x14ac:dyDescent="0.25">
      <c r="A105" s="122">
        <f t="shared" si="12"/>
        <v>88</v>
      </c>
      <c r="B105" s="62">
        <f t="shared" si="13"/>
        <v>88</v>
      </c>
      <c r="C105" s="62" t="s">
        <v>82</v>
      </c>
      <c r="D105" s="62" t="s">
        <v>340</v>
      </c>
      <c r="E105" s="123" t="s">
        <v>107</v>
      </c>
      <c r="F105" s="123"/>
      <c r="G105" s="123" t="s">
        <v>96</v>
      </c>
      <c r="H105" s="123" t="s">
        <v>98</v>
      </c>
      <c r="I105" s="123" t="s">
        <v>100</v>
      </c>
      <c r="J105" s="64">
        <v>981.5</v>
      </c>
      <c r="K105" s="64">
        <v>927.4</v>
      </c>
      <c r="L105" s="64">
        <v>54.1</v>
      </c>
      <c r="M105" s="124">
        <v>39</v>
      </c>
      <c r="N105" s="95">
        <f t="shared" si="1"/>
        <v>527866.23</v>
      </c>
      <c r="O105" s="64">
        <v>0</v>
      </c>
      <c r="P105" s="64"/>
      <c r="Q105" s="64"/>
      <c r="R105" s="64">
        <f>+'[12]Приложение № 4'!E100</f>
        <v>527866.23</v>
      </c>
      <c r="S105" s="64"/>
      <c r="T105" s="64"/>
      <c r="U105" s="64">
        <f t="shared" si="15"/>
        <v>537.81582272032597</v>
      </c>
      <c r="V105" s="64">
        <f t="shared" si="15"/>
        <v>537.81582272032597</v>
      </c>
      <c r="W105" s="163" t="s">
        <v>495</v>
      </c>
      <c r="X105" s="156" t="e">
        <f>+N105-#REF!</f>
        <v>#REF!</v>
      </c>
      <c r="Y105" s="153">
        <v>353471.06</v>
      </c>
      <c r="Z105" s="153">
        <f>+(K105*9.1+L105*18.19)*12</f>
        <v>113081.02799999999</v>
      </c>
      <c r="AB105" s="156" t="e">
        <f>+N105-#REF!</f>
        <v>#REF!</v>
      </c>
      <c r="AC105" s="164">
        <f>+N105-'[12]Приложение № 4'!E100</f>
        <v>0</v>
      </c>
      <c r="AE105" s="165" t="e">
        <f>+N105-#REF!</f>
        <v>#REF!</v>
      </c>
      <c r="AG105" s="3" t="s">
        <v>340</v>
      </c>
      <c r="AH105" s="4">
        <f t="shared" si="3"/>
        <v>548002.59525529738</v>
      </c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>
        <v>524002.59525529738</v>
      </c>
      <c r="AV105" s="4">
        <v>24000</v>
      </c>
      <c r="AW105" s="4"/>
      <c r="AZ105" s="156">
        <f>+N105-'Приложение №4'!E100</f>
        <v>0</v>
      </c>
    </row>
    <row r="106" spans="1:52" ht="15" x14ac:dyDescent="0.25">
      <c r="A106" s="122">
        <f t="shared" si="12"/>
        <v>89</v>
      </c>
      <c r="B106" s="62">
        <f t="shared" si="13"/>
        <v>89</v>
      </c>
      <c r="C106" s="62" t="s">
        <v>82</v>
      </c>
      <c r="D106" s="62" t="s">
        <v>341</v>
      </c>
      <c r="E106" s="123" t="s">
        <v>104</v>
      </c>
      <c r="F106" s="123"/>
      <c r="G106" s="123" t="s">
        <v>99</v>
      </c>
      <c r="H106" s="123" t="s">
        <v>97</v>
      </c>
      <c r="I106" s="123" t="s">
        <v>102</v>
      </c>
      <c r="J106" s="64">
        <v>4523.2</v>
      </c>
      <c r="K106" s="64">
        <v>3829.6</v>
      </c>
      <c r="L106" s="64">
        <v>51.1</v>
      </c>
      <c r="M106" s="124">
        <v>160</v>
      </c>
      <c r="N106" s="95">
        <f t="shared" si="1"/>
        <v>425235.56999999995</v>
      </c>
      <c r="O106" s="64">
        <v>0</v>
      </c>
      <c r="P106" s="64"/>
      <c r="Q106" s="64"/>
      <c r="R106" s="64">
        <f>+'[12]Приложение № 4'!E101</f>
        <v>425235.56999999995</v>
      </c>
      <c r="S106" s="64"/>
      <c r="T106" s="64"/>
      <c r="U106" s="64">
        <f t="shared" si="15"/>
        <v>109.57702734042826</v>
      </c>
      <c r="V106" s="64">
        <f t="shared" si="15"/>
        <v>109.57702734042826</v>
      </c>
      <c r="W106" s="163" t="s">
        <v>495</v>
      </c>
      <c r="X106" s="156" t="e">
        <f>+N106-#REF!</f>
        <v>#REF!</v>
      </c>
      <c r="Y106" s="153">
        <v>1838984.34</v>
      </c>
      <c r="Z106" s="153">
        <f t="shared" ref="Z106:Z109" si="16">+(K106*12.08+L106*20.47)*12</f>
        <v>567691.02</v>
      </c>
      <c r="AB106" s="156" t="e">
        <f>+N106-#REF!</f>
        <v>#REF!</v>
      </c>
      <c r="AC106" s="164">
        <f>+N106-'[12]Приложение № 4'!E101</f>
        <v>0</v>
      </c>
      <c r="AE106" s="165" t="e">
        <f>+N106-#REF!</f>
        <v>#REF!</v>
      </c>
      <c r="AG106" s="3" t="s">
        <v>341</v>
      </c>
      <c r="AH106" s="4">
        <f t="shared" si="3"/>
        <v>447816.29157670558</v>
      </c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>
        <v>423816.29157670558</v>
      </c>
      <c r="AV106" s="4">
        <v>24000</v>
      </c>
      <c r="AW106" s="4"/>
      <c r="AZ106" s="156">
        <f>+N106-'Приложение №4'!E101</f>
        <v>0</v>
      </c>
    </row>
    <row r="107" spans="1:52" ht="15" x14ac:dyDescent="0.25">
      <c r="A107" s="122">
        <f t="shared" si="12"/>
        <v>90</v>
      </c>
      <c r="B107" s="62">
        <f t="shared" si="13"/>
        <v>90</v>
      </c>
      <c r="C107" s="62" t="s">
        <v>82</v>
      </c>
      <c r="D107" s="62" t="s">
        <v>342</v>
      </c>
      <c r="E107" s="123" t="s">
        <v>107</v>
      </c>
      <c r="F107" s="123"/>
      <c r="G107" s="123" t="s">
        <v>99</v>
      </c>
      <c r="H107" s="123" t="s">
        <v>97</v>
      </c>
      <c r="I107" s="123" t="s">
        <v>102</v>
      </c>
      <c r="J107" s="64">
        <v>3271</v>
      </c>
      <c r="K107" s="64">
        <v>2823.5</v>
      </c>
      <c r="L107" s="64">
        <v>0</v>
      </c>
      <c r="M107" s="124">
        <v>93</v>
      </c>
      <c r="N107" s="95">
        <f t="shared" si="1"/>
        <v>894975.79999999993</v>
      </c>
      <c r="O107" s="64">
        <v>0</v>
      </c>
      <c r="P107" s="64"/>
      <c r="Q107" s="64"/>
      <c r="R107" s="64">
        <f>+'[12]Приложение № 4'!E102</f>
        <v>894975.79999999993</v>
      </c>
      <c r="S107" s="64"/>
      <c r="T107" s="64"/>
      <c r="U107" s="64">
        <f t="shared" si="15"/>
        <v>316.97389764476713</v>
      </c>
      <c r="V107" s="64">
        <f t="shared" si="15"/>
        <v>316.97389764476713</v>
      </c>
      <c r="W107" s="163" t="s">
        <v>495</v>
      </c>
      <c r="X107" s="156" t="e">
        <f>+N107-#REF!</f>
        <v>#REF!</v>
      </c>
      <c r="Y107" s="153">
        <v>1347380.71</v>
      </c>
      <c r="Z107" s="153">
        <f t="shared" si="16"/>
        <v>409294.55999999994</v>
      </c>
      <c r="AB107" s="156" t="e">
        <f>+N107-#REF!</f>
        <v>#REF!</v>
      </c>
      <c r="AC107" s="164">
        <f>+N107-'[12]Приложение № 4'!E102</f>
        <v>0</v>
      </c>
      <c r="AE107" s="165" t="e">
        <f>+N107-#REF!</f>
        <v>#REF!</v>
      </c>
      <c r="AG107" s="3" t="s">
        <v>342</v>
      </c>
      <c r="AH107" s="4">
        <f t="shared" si="3"/>
        <v>922933.82307000202</v>
      </c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>
        <v>898933.82307000202</v>
      </c>
      <c r="AV107" s="4">
        <v>24000</v>
      </c>
      <c r="AW107" s="4"/>
      <c r="AZ107" s="156">
        <f>+N107-'Приложение №4'!E102</f>
        <v>0</v>
      </c>
    </row>
    <row r="108" spans="1:52" ht="15" x14ac:dyDescent="0.25">
      <c r="A108" s="122">
        <f t="shared" si="12"/>
        <v>91</v>
      </c>
      <c r="B108" s="62">
        <f t="shared" si="13"/>
        <v>91</v>
      </c>
      <c r="C108" s="62" t="s">
        <v>82</v>
      </c>
      <c r="D108" s="62" t="s">
        <v>343</v>
      </c>
      <c r="E108" s="123" t="s">
        <v>121</v>
      </c>
      <c r="F108" s="123"/>
      <c r="G108" s="123" t="s">
        <v>99</v>
      </c>
      <c r="H108" s="123" t="s">
        <v>97</v>
      </c>
      <c r="I108" s="123" t="s">
        <v>102</v>
      </c>
      <c r="J108" s="64">
        <v>3239.5</v>
      </c>
      <c r="K108" s="64">
        <v>2723.8</v>
      </c>
      <c r="L108" s="64">
        <v>63.8</v>
      </c>
      <c r="M108" s="124">
        <v>112</v>
      </c>
      <c r="N108" s="95">
        <f t="shared" si="1"/>
        <v>298717.92</v>
      </c>
      <c r="O108" s="64">
        <v>0</v>
      </c>
      <c r="P108" s="64"/>
      <c r="Q108" s="64"/>
      <c r="R108" s="64">
        <f>+'[12]Приложение № 4'!E103</f>
        <v>298717.92</v>
      </c>
      <c r="S108" s="64"/>
      <c r="T108" s="64"/>
      <c r="U108" s="64">
        <f t="shared" si="15"/>
        <v>107.15953508394315</v>
      </c>
      <c r="V108" s="64">
        <f t="shared" si="15"/>
        <v>107.15953508394315</v>
      </c>
      <c r="W108" s="163" t="s">
        <v>495</v>
      </c>
      <c r="X108" s="156" t="e">
        <f>+N108-#REF!</f>
        <v>#REF!</v>
      </c>
      <c r="Y108" s="153">
        <v>1250845.8700000001</v>
      </c>
      <c r="Z108" s="153">
        <f t="shared" si="16"/>
        <v>410513.88</v>
      </c>
      <c r="AB108" s="156" t="e">
        <f>+N108-#REF!</f>
        <v>#REF!</v>
      </c>
      <c r="AC108" s="164">
        <f>+N108-'[12]Приложение № 4'!E103</f>
        <v>0</v>
      </c>
      <c r="AE108" s="165" t="e">
        <f>+N108-#REF!</f>
        <v>#REF!</v>
      </c>
      <c r="AG108" s="3" t="s">
        <v>343</v>
      </c>
      <c r="AH108" s="4">
        <f t="shared" si="3"/>
        <v>300157.17216000007</v>
      </c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>
        <v>276157.17216000007</v>
      </c>
      <c r="AV108" s="4">
        <v>24000</v>
      </c>
      <c r="AW108" s="4"/>
      <c r="AZ108" s="156">
        <f>+N108-'Приложение №4'!E103</f>
        <v>0</v>
      </c>
    </row>
    <row r="109" spans="1:52" ht="15" x14ac:dyDescent="0.25">
      <c r="A109" s="122">
        <f t="shared" si="12"/>
        <v>92</v>
      </c>
      <c r="B109" s="62">
        <f t="shared" si="13"/>
        <v>92</v>
      </c>
      <c r="C109" s="62" t="s">
        <v>82</v>
      </c>
      <c r="D109" s="62" t="s">
        <v>344</v>
      </c>
      <c r="E109" s="123" t="s">
        <v>121</v>
      </c>
      <c r="F109" s="123"/>
      <c r="G109" s="123" t="s">
        <v>99</v>
      </c>
      <c r="H109" s="123" t="s">
        <v>97</v>
      </c>
      <c r="I109" s="123" t="s">
        <v>101</v>
      </c>
      <c r="J109" s="64">
        <v>12198.52</v>
      </c>
      <c r="K109" s="64">
        <v>10149.6</v>
      </c>
      <c r="L109" s="64">
        <v>188.7</v>
      </c>
      <c r="M109" s="124">
        <v>390</v>
      </c>
      <c r="N109" s="95">
        <f t="shared" si="1"/>
        <v>658104.89</v>
      </c>
      <c r="O109" s="64">
        <v>0</v>
      </c>
      <c r="P109" s="64"/>
      <c r="Q109" s="64"/>
      <c r="R109" s="64">
        <f>+'[12]Приложение № 4'!E104</f>
        <v>658104.89</v>
      </c>
      <c r="S109" s="64"/>
      <c r="T109" s="64"/>
      <c r="U109" s="64">
        <f t="shared" si="15"/>
        <v>63.656973583664623</v>
      </c>
      <c r="V109" s="64">
        <f t="shared" si="15"/>
        <v>63.656973583664623</v>
      </c>
      <c r="W109" s="163" t="s">
        <v>495</v>
      </c>
      <c r="X109" s="156" t="e">
        <f>+N109-#REF!</f>
        <v>#REF!</v>
      </c>
      <c r="Y109" s="153">
        <v>4921838.62</v>
      </c>
      <c r="Z109" s="153">
        <f t="shared" si="16"/>
        <v>1517638.284</v>
      </c>
      <c r="AB109" s="156" t="e">
        <f>+N109-#REF!</f>
        <v>#REF!</v>
      </c>
      <c r="AC109" s="164">
        <f>+N109-'[12]Приложение № 4'!E104</f>
        <v>0</v>
      </c>
      <c r="AE109" s="165" t="e">
        <f>+N109-#REF!</f>
        <v>#REF!</v>
      </c>
      <c r="AG109" s="3" t="s">
        <v>344</v>
      </c>
      <c r="AH109" s="4">
        <f t="shared" si="3"/>
        <v>661426.99034079188</v>
      </c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>
        <v>637426.99034079188</v>
      </c>
      <c r="AV109" s="4">
        <v>24000</v>
      </c>
      <c r="AW109" s="4"/>
      <c r="AZ109" s="156">
        <f>+N109-'Приложение №4'!E104</f>
        <v>0</v>
      </c>
    </row>
    <row r="110" spans="1:52" ht="15" x14ac:dyDescent="0.25">
      <c r="A110" s="122">
        <f t="shared" si="12"/>
        <v>93</v>
      </c>
      <c r="B110" s="62">
        <f t="shared" si="13"/>
        <v>93</v>
      </c>
      <c r="C110" s="62" t="s">
        <v>49</v>
      </c>
      <c r="D110" s="62" t="s">
        <v>934</v>
      </c>
      <c r="E110" s="123" t="s">
        <v>110</v>
      </c>
      <c r="F110" s="123"/>
      <c r="G110" s="123" t="s">
        <v>96</v>
      </c>
      <c r="H110" s="123" t="s">
        <v>105</v>
      </c>
      <c r="I110" s="123" t="s">
        <v>105</v>
      </c>
      <c r="J110" s="64">
        <v>4161.7</v>
      </c>
      <c r="K110" s="64">
        <v>2417.1999999999998</v>
      </c>
      <c r="L110" s="64">
        <v>0</v>
      </c>
      <c r="M110" s="124">
        <v>90</v>
      </c>
      <c r="N110" s="95">
        <f>+P110+Q110+R110+S110+T110</f>
        <v>1389861.8</v>
      </c>
      <c r="O110" s="64">
        <v>0</v>
      </c>
      <c r="P110" s="64"/>
      <c r="Q110" s="64"/>
      <c r="R110" s="64">
        <f>+'[12]Приложение № 4'!E105</f>
        <v>1389861.8</v>
      </c>
      <c r="S110" s="64"/>
      <c r="T110" s="64"/>
      <c r="U110" s="64">
        <f t="shared" si="15"/>
        <v>574.98833360913454</v>
      </c>
      <c r="V110" s="64">
        <f t="shared" si="15"/>
        <v>574.98833360913454</v>
      </c>
      <c r="W110" s="163" t="s">
        <v>495</v>
      </c>
      <c r="X110" s="156" t="e">
        <f>+N110-#REF!</f>
        <v>#REF!</v>
      </c>
      <c r="Y110" s="153">
        <v>950647.93</v>
      </c>
      <c r="Z110" s="153">
        <f t="shared" ref="Z110:Z129" si="17">+(K110*9.1+L110*18.19)*12</f>
        <v>263958.24</v>
      </c>
      <c r="AB110" s="156" t="e">
        <f>+N110-#REF!</f>
        <v>#REF!</v>
      </c>
      <c r="AC110" s="164">
        <f>+N110-'[12]Приложение № 4'!E105</f>
        <v>0</v>
      </c>
      <c r="AE110" s="165" t="e">
        <f>+N110-#REF!</f>
        <v>#REF!</v>
      </c>
      <c r="AG110" s="3" t="s">
        <v>458</v>
      </c>
      <c r="AH110" s="4">
        <f>SUM(AI110:AW110)</f>
        <v>1397101.1565641023</v>
      </c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>
        <v>1373101.1565641023</v>
      </c>
      <c r="AV110" s="4">
        <v>24000</v>
      </c>
      <c r="AW110" s="4"/>
      <c r="AZ110" s="156">
        <f>+N110-'Приложение №4'!E105</f>
        <v>0</v>
      </c>
    </row>
    <row r="111" spans="1:52" ht="15" x14ac:dyDescent="0.25">
      <c r="A111" s="122">
        <f t="shared" si="12"/>
        <v>94</v>
      </c>
      <c r="B111" s="62">
        <f t="shared" si="13"/>
        <v>94</v>
      </c>
      <c r="C111" s="62" t="s">
        <v>50</v>
      </c>
      <c r="D111" s="62" t="s">
        <v>960</v>
      </c>
      <c r="E111" s="123" t="s">
        <v>110</v>
      </c>
      <c r="F111" s="123"/>
      <c r="G111" s="123" t="s">
        <v>96</v>
      </c>
      <c r="H111" s="123" t="s">
        <v>108</v>
      </c>
      <c r="I111" s="123" t="s">
        <v>105</v>
      </c>
      <c r="J111" s="64">
        <v>3725.6</v>
      </c>
      <c r="K111" s="64">
        <v>3168.4</v>
      </c>
      <c r="L111" s="64">
        <v>0</v>
      </c>
      <c r="M111" s="124">
        <v>150</v>
      </c>
      <c r="N111" s="95">
        <f t="shared" si="1"/>
        <v>409917.87</v>
      </c>
      <c r="O111" s="64">
        <v>0</v>
      </c>
      <c r="P111" s="64"/>
      <c r="Q111" s="64"/>
      <c r="R111" s="64">
        <f>+'[12]Приложение № 4'!E106</f>
        <v>409917.87</v>
      </c>
      <c r="S111" s="64"/>
      <c r="T111" s="64"/>
      <c r="U111" s="64">
        <f t="shared" si="15"/>
        <v>129.37693157429618</v>
      </c>
      <c r="V111" s="64">
        <f t="shared" si="15"/>
        <v>129.37693157429618</v>
      </c>
      <c r="W111" s="163" t="s">
        <v>495</v>
      </c>
      <c r="X111" s="156" t="e">
        <f>+N111-#REF!</f>
        <v>#REF!</v>
      </c>
      <c r="Y111" s="153">
        <v>1326436.8899999999</v>
      </c>
      <c r="Z111" s="153">
        <f t="shared" si="17"/>
        <v>345989.27999999997</v>
      </c>
      <c r="AB111" s="156" t="e">
        <f>+N111-#REF!</f>
        <v>#REF!</v>
      </c>
      <c r="AC111" s="164">
        <f>+N111-'[12]Приложение № 4'!E106</f>
        <v>0</v>
      </c>
      <c r="AE111" s="165" t="e">
        <f>+N111-#REF!</f>
        <v>#REF!</v>
      </c>
      <c r="AG111" s="3" t="s">
        <v>93</v>
      </c>
      <c r="AH111" s="4">
        <f t="shared" si="3"/>
        <v>411939.71159538999</v>
      </c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>
        <v>387939.71159538999</v>
      </c>
      <c r="AV111" s="4">
        <v>24000</v>
      </c>
      <c r="AW111" s="4"/>
      <c r="AZ111" s="156">
        <f>+N111-'Приложение №4'!E106</f>
        <v>0</v>
      </c>
    </row>
    <row r="112" spans="1:52" ht="15" x14ac:dyDescent="0.25">
      <c r="A112" s="122">
        <f t="shared" si="12"/>
        <v>95</v>
      </c>
      <c r="B112" s="62">
        <f t="shared" si="13"/>
        <v>95</v>
      </c>
      <c r="C112" s="62" t="s">
        <v>71</v>
      </c>
      <c r="D112" s="62" t="s">
        <v>935</v>
      </c>
      <c r="E112" s="123" t="s">
        <v>103</v>
      </c>
      <c r="F112" s="123"/>
      <c r="G112" s="123" t="s">
        <v>96</v>
      </c>
      <c r="H112" s="123" t="s">
        <v>101</v>
      </c>
      <c r="I112" s="123" t="s">
        <v>98</v>
      </c>
      <c r="J112" s="64">
        <v>1781.6</v>
      </c>
      <c r="K112" s="64">
        <v>1204</v>
      </c>
      <c r="L112" s="64">
        <v>0</v>
      </c>
      <c r="M112" s="124">
        <v>67</v>
      </c>
      <c r="N112" s="95">
        <f t="shared" si="1"/>
        <v>181853.98</v>
      </c>
      <c r="O112" s="64">
        <v>0</v>
      </c>
      <c r="P112" s="64"/>
      <c r="Q112" s="64"/>
      <c r="R112" s="64">
        <f>+'[12]Приложение № 4'!E107</f>
        <v>181853.98</v>
      </c>
      <c r="S112" s="64"/>
      <c r="T112" s="64"/>
      <c r="U112" s="64">
        <f t="shared" si="15"/>
        <v>151.041511627907</v>
      </c>
      <c r="V112" s="64">
        <f t="shared" si="15"/>
        <v>151.041511627907</v>
      </c>
      <c r="W112" s="163" t="s">
        <v>495</v>
      </c>
      <c r="X112" s="156" t="e">
        <f>+N112-#REF!</f>
        <v>#REF!</v>
      </c>
      <c r="Y112" s="153">
        <v>469712.72</v>
      </c>
      <c r="Z112" s="153">
        <f t="shared" si="17"/>
        <v>131476.79999999999</v>
      </c>
      <c r="AB112" s="156" t="e">
        <f>+N112-#REF!</f>
        <v>#REF!</v>
      </c>
      <c r="AC112" s="164">
        <f>+N112-'[12]Приложение № 4'!E107</f>
        <v>0</v>
      </c>
      <c r="AE112" s="165" t="e">
        <f>+N112-#REF!</f>
        <v>#REF!</v>
      </c>
      <c r="AG112" s="3" t="s">
        <v>345</v>
      </c>
      <c r="AH112" s="4">
        <f t="shared" si="3"/>
        <v>182687.22092593682</v>
      </c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>
        <v>158687.22092593682</v>
      </c>
      <c r="AV112" s="4">
        <v>24000</v>
      </c>
      <c r="AW112" s="4"/>
      <c r="AZ112" s="156">
        <f>+N112-'Приложение №4'!E107</f>
        <v>0</v>
      </c>
    </row>
    <row r="113" spans="1:52" ht="15" x14ac:dyDescent="0.25">
      <c r="A113" s="122">
        <f t="shared" si="12"/>
        <v>96</v>
      </c>
      <c r="B113" s="62">
        <f t="shared" si="13"/>
        <v>96</v>
      </c>
      <c r="C113" s="62" t="s">
        <v>71</v>
      </c>
      <c r="D113" s="62" t="s">
        <v>936</v>
      </c>
      <c r="E113" s="123" t="s">
        <v>128</v>
      </c>
      <c r="F113" s="123"/>
      <c r="G113" s="123" t="s">
        <v>96</v>
      </c>
      <c r="H113" s="123" t="s">
        <v>101</v>
      </c>
      <c r="I113" s="123" t="s">
        <v>98</v>
      </c>
      <c r="J113" s="64">
        <v>1304.7</v>
      </c>
      <c r="K113" s="64">
        <v>939.3</v>
      </c>
      <c r="L113" s="64">
        <v>0</v>
      </c>
      <c r="M113" s="124">
        <v>33</v>
      </c>
      <c r="N113" s="95">
        <f t="shared" si="1"/>
        <v>316118.53000000003</v>
      </c>
      <c r="O113" s="64">
        <v>0</v>
      </c>
      <c r="P113" s="64"/>
      <c r="Q113" s="64"/>
      <c r="R113" s="64">
        <f>+'[12]Приложение № 4'!E108</f>
        <v>316118.53000000003</v>
      </c>
      <c r="S113" s="64"/>
      <c r="T113" s="64"/>
      <c r="U113" s="64">
        <f t="shared" si="15"/>
        <v>336.54692856382417</v>
      </c>
      <c r="V113" s="64">
        <f t="shared" si="15"/>
        <v>336.54692856382417</v>
      </c>
      <c r="W113" s="163" t="s">
        <v>495</v>
      </c>
      <c r="X113" s="156" t="e">
        <f>+N113-#REF!</f>
        <v>#REF!</v>
      </c>
      <c r="Y113" s="153">
        <v>369443.53</v>
      </c>
      <c r="Z113" s="153">
        <f t="shared" si="17"/>
        <v>102571.56</v>
      </c>
      <c r="AB113" s="156" t="e">
        <f>+N113-#REF!</f>
        <v>#REF!</v>
      </c>
      <c r="AC113" s="164">
        <f>+N113-'[12]Приложение № 4'!E108</f>
        <v>0</v>
      </c>
      <c r="AE113" s="165" t="e">
        <f>+N113-#REF!</f>
        <v>#REF!</v>
      </c>
      <c r="AG113" s="3" t="s">
        <v>346</v>
      </c>
      <c r="AH113" s="4">
        <f t="shared" si="3"/>
        <v>317660.48215997242</v>
      </c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>
        <v>276192.52413917246</v>
      </c>
      <c r="AV113" s="4">
        <v>41467.958020799997</v>
      </c>
      <c r="AW113" s="4"/>
      <c r="AZ113" s="156">
        <f>+N113-'Приложение №4'!E108</f>
        <v>0</v>
      </c>
    </row>
    <row r="114" spans="1:52" ht="15" x14ac:dyDescent="0.25">
      <c r="A114" s="122">
        <f t="shared" si="12"/>
        <v>97</v>
      </c>
      <c r="B114" s="62">
        <f t="shared" si="13"/>
        <v>97</v>
      </c>
      <c r="C114" s="62" t="s">
        <v>71</v>
      </c>
      <c r="D114" s="62" t="s">
        <v>937</v>
      </c>
      <c r="E114" s="123" t="s">
        <v>135</v>
      </c>
      <c r="F114" s="123"/>
      <c r="G114" s="123" t="s">
        <v>96</v>
      </c>
      <c r="H114" s="123" t="s">
        <v>101</v>
      </c>
      <c r="I114" s="123" t="s">
        <v>105</v>
      </c>
      <c r="J114" s="64">
        <v>2740.5</v>
      </c>
      <c r="K114" s="64">
        <v>1843.1</v>
      </c>
      <c r="L114" s="64">
        <v>0</v>
      </c>
      <c r="M114" s="124">
        <v>67</v>
      </c>
      <c r="N114" s="95">
        <f t="shared" ref="N114:N194" si="18">+P114+Q114+R114+S114+T114</f>
        <v>344861.6</v>
      </c>
      <c r="O114" s="64">
        <v>0</v>
      </c>
      <c r="P114" s="64"/>
      <c r="Q114" s="64"/>
      <c r="R114" s="64">
        <f>+'[12]Приложение № 4'!E109</f>
        <v>344861.6</v>
      </c>
      <c r="S114" s="64"/>
      <c r="T114" s="64"/>
      <c r="U114" s="64">
        <f t="shared" si="15"/>
        <v>187.10954370354295</v>
      </c>
      <c r="V114" s="64">
        <f t="shared" si="15"/>
        <v>187.10954370354295</v>
      </c>
      <c r="W114" s="163" t="s">
        <v>495</v>
      </c>
      <c r="X114" s="156" t="e">
        <f>+N114-#REF!</f>
        <v>#REF!</v>
      </c>
      <c r="Y114" s="153">
        <v>738837.87</v>
      </c>
      <c r="Z114" s="153">
        <f t="shared" si="17"/>
        <v>201266.52</v>
      </c>
      <c r="AB114" s="156" t="e">
        <f>+N114-#REF!</f>
        <v>#REF!</v>
      </c>
      <c r="AC114" s="164">
        <f>+N114-'[12]Приложение № 4'!E109</f>
        <v>0</v>
      </c>
      <c r="AE114" s="165" t="e">
        <f>+N114-#REF!</f>
        <v>#REF!</v>
      </c>
      <c r="AG114" s="3" t="s">
        <v>347</v>
      </c>
      <c r="AH114" s="4">
        <f t="shared" ref="AH114:AH138" si="19">SUM(AI114:AW114)</f>
        <v>346555.265163659</v>
      </c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>
        <v>301911.79997165903</v>
      </c>
      <c r="AV114" s="4">
        <v>44643.465192000003</v>
      </c>
      <c r="AW114" s="4"/>
      <c r="AZ114" s="156">
        <f>+N114-'Приложение №4'!E109</f>
        <v>0</v>
      </c>
    </row>
    <row r="115" spans="1:52" ht="15" x14ac:dyDescent="0.25">
      <c r="A115" s="122">
        <f t="shared" si="12"/>
        <v>98</v>
      </c>
      <c r="B115" s="62">
        <f t="shared" si="13"/>
        <v>98</v>
      </c>
      <c r="C115" s="62" t="s">
        <v>71</v>
      </c>
      <c r="D115" s="62" t="s">
        <v>938</v>
      </c>
      <c r="E115" s="123" t="s">
        <v>103</v>
      </c>
      <c r="F115" s="123"/>
      <c r="G115" s="123" t="s">
        <v>96</v>
      </c>
      <c r="H115" s="123" t="s">
        <v>101</v>
      </c>
      <c r="I115" s="123" t="s">
        <v>102</v>
      </c>
      <c r="J115" s="64">
        <v>1347.5</v>
      </c>
      <c r="K115" s="64">
        <v>868.2</v>
      </c>
      <c r="L115" s="64">
        <v>0</v>
      </c>
      <c r="M115" s="124">
        <v>37</v>
      </c>
      <c r="N115" s="95">
        <f t="shared" si="18"/>
        <v>284554.5</v>
      </c>
      <c r="O115" s="64">
        <v>0</v>
      </c>
      <c r="P115" s="64"/>
      <c r="Q115" s="64"/>
      <c r="R115" s="64">
        <f>+'[12]Приложение № 4'!E110</f>
        <v>284554.5</v>
      </c>
      <c r="S115" s="64"/>
      <c r="T115" s="64"/>
      <c r="U115" s="64">
        <f t="shared" si="15"/>
        <v>327.75224602626122</v>
      </c>
      <c r="V115" s="64">
        <f t="shared" si="15"/>
        <v>327.75224602626122</v>
      </c>
      <c r="W115" s="163" t="s">
        <v>495</v>
      </c>
      <c r="X115" s="156" t="e">
        <f>+N115-#REF!</f>
        <v>#REF!</v>
      </c>
      <c r="Y115" s="153">
        <v>359975.76</v>
      </c>
      <c r="Z115" s="153">
        <f t="shared" si="17"/>
        <v>94807.44</v>
      </c>
      <c r="AB115" s="156" t="e">
        <f>+N115-#REF!</f>
        <v>#REF!</v>
      </c>
      <c r="AC115" s="164">
        <f>+N115-'[12]Приложение № 4'!E110</f>
        <v>0</v>
      </c>
      <c r="AE115" s="165" t="e">
        <f>+N115-#REF!</f>
        <v>#REF!</v>
      </c>
      <c r="AG115" s="3" t="s">
        <v>348</v>
      </c>
      <c r="AH115" s="4">
        <f t="shared" si="19"/>
        <v>285929.85103617836</v>
      </c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>
        <v>244367.23379617836</v>
      </c>
      <c r="AV115" s="4">
        <v>41562.61724</v>
      </c>
      <c r="AW115" s="4"/>
      <c r="AZ115" s="156">
        <f>+N115-'Приложение №4'!E110</f>
        <v>0</v>
      </c>
    </row>
    <row r="116" spans="1:52" ht="15" x14ac:dyDescent="0.25">
      <c r="A116" s="122">
        <f t="shared" si="12"/>
        <v>99</v>
      </c>
      <c r="B116" s="62">
        <f t="shared" si="13"/>
        <v>99</v>
      </c>
      <c r="C116" s="62" t="s">
        <v>71</v>
      </c>
      <c r="D116" s="62" t="s">
        <v>939</v>
      </c>
      <c r="E116" s="123" t="s">
        <v>122</v>
      </c>
      <c r="F116" s="123"/>
      <c r="G116" s="123" t="s">
        <v>96</v>
      </c>
      <c r="H116" s="123" t="s">
        <v>98</v>
      </c>
      <c r="I116" s="123" t="s">
        <v>515</v>
      </c>
      <c r="J116" s="64">
        <v>867.9</v>
      </c>
      <c r="K116" s="64">
        <v>867.9</v>
      </c>
      <c r="L116" s="64">
        <v>0</v>
      </c>
      <c r="M116" s="124">
        <v>31</v>
      </c>
      <c r="N116" s="95">
        <f t="shared" si="18"/>
        <v>316646.27999999997</v>
      </c>
      <c r="O116" s="64">
        <v>0</v>
      </c>
      <c r="P116" s="64"/>
      <c r="Q116" s="64"/>
      <c r="R116" s="64">
        <f>+'[12]Приложение № 4'!E111</f>
        <v>316646.27999999997</v>
      </c>
      <c r="S116" s="64"/>
      <c r="T116" s="64"/>
      <c r="U116" s="64">
        <f t="shared" si="15"/>
        <v>364.84189422744555</v>
      </c>
      <c r="V116" s="64">
        <f t="shared" si="15"/>
        <v>364.84189422744555</v>
      </c>
      <c r="W116" s="163" t="s">
        <v>495</v>
      </c>
      <c r="X116" s="156" t="e">
        <f>+N116-#REF!</f>
        <v>#REF!</v>
      </c>
      <c r="Y116" s="153">
        <v>332535.69</v>
      </c>
      <c r="Z116" s="153">
        <f t="shared" si="17"/>
        <v>94774.68</v>
      </c>
      <c r="AB116" s="156" t="e">
        <f>+N116-#REF!</f>
        <v>#REF!</v>
      </c>
      <c r="AC116" s="164">
        <f>+N116-'[12]Приложение № 4'!E111</f>
        <v>0</v>
      </c>
      <c r="AE116" s="165" t="e">
        <f>+N116-#REF!</f>
        <v>#REF!</v>
      </c>
      <c r="AG116" s="3" t="s">
        <v>349</v>
      </c>
      <c r="AH116" s="4">
        <f t="shared" si="19"/>
        <v>146188.50008610624</v>
      </c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>
        <v>122188.50008610624</v>
      </c>
      <c r="AV116" s="4">
        <v>24000</v>
      </c>
      <c r="AW116" s="4"/>
      <c r="AZ116" s="156">
        <f>+N116-'Приложение №4'!E111</f>
        <v>0</v>
      </c>
    </row>
    <row r="117" spans="1:52" ht="15" x14ac:dyDescent="0.25">
      <c r="A117" s="122">
        <f t="shared" si="12"/>
        <v>100</v>
      </c>
      <c r="B117" s="62">
        <f t="shared" si="13"/>
        <v>100</v>
      </c>
      <c r="C117" s="62" t="s">
        <v>71</v>
      </c>
      <c r="D117" s="62" t="s">
        <v>940</v>
      </c>
      <c r="E117" s="123" t="s">
        <v>128</v>
      </c>
      <c r="F117" s="123"/>
      <c r="G117" s="123" t="s">
        <v>96</v>
      </c>
      <c r="H117" s="123" t="s">
        <v>98</v>
      </c>
      <c r="I117" s="123" t="s">
        <v>515</v>
      </c>
      <c r="J117" s="64">
        <v>932.6</v>
      </c>
      <c r="K117" s="64">
        <v>614.9</v>
      </c>
      <c r="L117" s="64">
        <v>0</v>
      </c>
      <c r="M117" s="124">
        <v>35</v>
      </c>
      <c r="N117" s="95">
        <f t="shared" si="18"/>
        <v>213070.32</v>
      </c>
      <c r="O117" s="64">
        <v>0</v>
      </c>
      <c r="P117" s="64"/>
      <c r="Q117" s="64"/>
      <c r="R117" s="64">
        <f>+'[12]Приложение № 4'!E112</f>
        <v>213070.32</v>
      </c>
      <c r="S117" s="64"/>
      <c r="T117" s="64"/>
      <c r="U117" s="64">
        <f t="shared" si="15"/>
        <v>346.51214831679948</v>
      </c>
      <c r="V117" s="64">
        <f t="shared" si="15"/>
        <v>346.51214831679948</v>
      </c>
      <c r="W117" s="163" t="s">
        <v>495</v>
      </c>
      <c r="X117" s="156" t="e">
        <f>+N117-#REF!</f>
        <v>#REF!</v>
      </c>
      <c r="Y117" s="153">
        <v>237814.81</v>
      </c>
      <c r="Z117" s="153">
        <f t="shared" si="17"/>
        <v>67147.079999999987</v>
      </c>
      <c r="AB117" s="156" t="e">
        <f>+N117-#REF!</f>
        <v>#REF!</v>
      </c>
      <c r="AC117" s="164">
        <f>+N117-'[12]Приложение № 4'!E112</f>
        <v>0</v>
      </c>
      <c r="AE117" s="165" t="e">
        <f>+N117-#REF!</f>
        <v>#REF!</v>
      </c>
      <c r="AG117" s="3" t="s">
        <v>350</v>
      </c>
      <c r="AH117" s="4">
        <f t="shared" si="19"/>
        <v>214068.34323319409</v>
      </c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>
        <v>172630.03852279409</v>
      </c>
      <c r="AV117" s="4">
        <v>41438.3047104</v>
      </c>
      <c r="AW117" s="4"/>
      <c r="AZ117" s="156">
        <f>+N117-'Приложение №4'!E112</f>
        <v>0</v>
      </c>
    </row>
    <row r="118" spans="1:52" ht="15" x14ac:dyDescent="0.25">
      <c r="A118" s="122">
        <f t="shared" si="12"/>
        <v>101</v>
      </c>
      <c r="B118" s="62">
        <f t="shared" si="13"/>
        <v>101</v>
      </c>
      <c r="C118" s="62" t="s">
        <v>51</v>
      </c>
      <c r="D118" s="62" t="s">
        <v>941</v>
      </c>
      <c r="E118" s="123" t="s">
        <v>114</v>
      </c>
      <c r="F118" s="123"/>
      <c r="G118" s="123" t="s">
        <v>96</v>
      </c>
      <c r="H118" s="123" t="s">
        <v>105</v>
      </c>
      <c r="I118" s="123" t="s">
        <v>98</v>
      </c>
      <c r="J118" s="64">
        <v>1530.5</v>
      </c>
      <c r="K118" s="64">
        <v>2772.4</v>
      </c>
      <c r="L118" s="64">
        <v>471.4</v>
      </c>
      <c r="M118" s="124">
        <v>77</v>
      </c>
      <c r="N118" s="95">
        <f t="shared" si="18"/>
        <v>777051.21</v>
      </c>
      <c r="O118" s="64">
        <v>0</v>
      </c>
      <c r="P118" s="64"/>
      <c r="Q118" s="64"/>
      <c r="R118" s="64">
        <f>+'[12]Приложение № 4'!E113</f>
        <v>777051.21</v>
      </c>
      <c r="S118" s="64"/>
      <c r="T118" s="64"/>
      <c r="U118" s="64">
        <f t="shared" si="15"/>
        <v>239.54966705715518</v>
      </c>
      <c r="V118" s="64">
        <f t="shared" si="15"/>
        <v>239.54966705715518</v>
      </c>
      <c r="W118" s="163" t="s">
        <v>495</v>
      </c>
      <c r="X118" s="156" t="e">
        <f>+N118-#REF!</f>
        <v>#REF!</v>
      </c>
      <c r="Y118" s="153">
        <v>460756.76</v>
      </c>
      <c r="Z118" s="153">
        <f t="shared" si="17"/>
        <v>405643.272</v>
      </c>
      <c r="AB118" s="156" t="e">
        <f>+N118-#REF!</f>
        <v>#REF!</v>
      </c>
      <c r="AC118" s="164">
        <f>+N118-'[12]Приложение № 4'!E113</f>
        <v>0</v>
      </c>
      <c r="AE118" s="165" t="e">
        <f>+N118-#REF!</f>
        <v>#REF!</v>
      </c>
      <c r="AG118" s="3" t="s">
        <v>459</v>
      </c>
      <c r="AH118" s="4">
        <f t="shared" si="19"/>
        <v>781042.58647428337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>
        <v>739726.18698228337</v>
      </c>
      <c r="AV118" s="4">
        <v>41316.399491999997</v>
      </c>
      <c r="AW118" s="4"/>
      <c r="AZ118" s="156">
        <f>+N118-'Приложение №4'!E113</f>
        <v>0</v>
      </c>
    </row>
    <row r="119" spans="1:52" ht="15" x14ac:dyDescent="0.25">
      <c r="A119" s="122">
        <f t="shared" si="12"/>
        <v>102</v>
      </c>
      <c r="B119" s="62">
        <f t="shared" si="13"/>
        <v>102</v>
      </c>
      <c r="C119" s="62" t="s">
        <v>51</v>
      </c>
      <c r="D119" s="62" t="s">
        <v>942</v>
      </c>
      <c r="E119" s="123" t="s">
        <v>111</v>
      </c>
      <c r="F119" s="123"/>
      <c r="G119" s="123" t="s">
        <v>96</v>
      </c>
      <c r="H119" s="123" t="s">
        <v>98</v>
      </c>
      <c r="I119" s="123" t="s">
        <v>98</v>
      </c>
      <c r="J119" s="64">
        <v>622.4</v>
      </c>
      <c r="K119" s="64">
        <v>577</v>
      </c>
      <c r="L119" s="64">
        <v>0</v>
      </c>
      <c r="M119" s="124">
        <v>28</v>
      </c>
      <c r="N119" s="95">
        <f t="shared" si="18"/>
        <v>112633.63</v>
      </c>
      <c r="O119" s="64">
        <v>0</v>
      </c>
      <c r="P119" s="64"/>
      <c r="Q119" s="64"/>
      <c r="R119" s="64">
        <f>+'[12]Приложение № 4'!E114</f>
        <v>112633.63</v>
      </c>
      <c r="S119" s="64"/>
      <c r="T119" s="64"/>
      <c r="U119" s="64">
        <f t="shared" si="15"/>
        <v>195.20559792027731</v>
      </c>
      <c r="V119" s="64">
        <f t="shared" si="15"/>
        <v>195.20559792027731</v>
      </c>
      <c r="W119" s="163" t="s">
        <v>495</v>
      </c>
      <c r="X119" s="156" t="e">
        <f>+N119-#REF!</f>
        <v>#REF!</v>
      </c>
      <c r="Y119" s="153">
        <v>205108.83</v>
      </c>
      <c r="Z119" s="153">
        <f t="shared" si="17"/>
        <v>63008.399999999994</v>
      </c>
      <c r="AB119" s="156" t="e">
        <f>+N119-#REF!</f>
        <v>#REF!</v>
      </c>
      <c r="AC119" s="164">
        <f>+N119-'[12]Приложение № 4'!E114</f>
        <v>0</v>
      </c>
      <c r="AE119" s="165" t="e">
        <f>+N119-#REF!</f>
        <v>#REF!</v>
      </c>
      <c r="AG119" s="3" t="s">
        <v>460</v>
      </c>
      <c r="AH119" s="4">
        <f t="shared" si="19"/>
        <v>113103.420864</v>
      </c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>
        <v>89103.420864</v>
      </c>
      <c r="AV119" s="4">
        <v>24000</v>
      </c>
      <c r="AW119" s="4"/>
      <c r="AZ119" s="156">
        <f>+N119-'Приложение №4'!E114</f>
        <v>0</v>
      </c>
    </row>
    <row r="120" spans="1:52" ht="15" x14ac:dyDescent="0.25">
      <c r="A120" s="122">
        <f t="shared" si="12"/>
        <v>103</v>
      </c>
      <c r="B120" s="62">
        <f t="shared" si="13"/>
        <v>103</v>
      </c>
      <c r="C120" s="62" t="s">
        <v>51</v>
      </c>
      <c r="D120" s="62" t="s">
        <v>943</v>
      </c>
      <c r="E120" s="123" t="s">
        <v>122</v>
      </c>
      <c r="F120" s="123"/>
      <c r="G120" s="123" t="s">
        <v>96</v>
      </c>
      <c r="H120" s="123" t="s">
        <v>101</v>
      </c>
      <c r="I120" s="123" t="s">
        <v>102</v>
      </c>
      <c r="J120" s="64">
        <v>1090</v>
      </c>
      <c r="K120" s="64">
        <v>938</v>
      </c>
      <c r="L120" s="64">
        <v>0</v>
      </c>
      <c r="M120" s="124">
        <v>33</v>
      </c>
      <c r="N120" s="95">
        <f t="shared" si="18"/>
        <v>495351.51</v>
      </c>
      <c r="O120" s="64">
        <v>0</v>
      </c>
      <c r="P120" s="64"/>
      <c r="Q120" s="64"/>
      <c r="R120" s="64">
        <f>+'[12]Приложение № 4'!E115</f>
        <v>495351.51</v>
      </c>
      <c r="S120" s="64"/>
      <c r="T120" s="64"/>
      <c r="U120" s="64">
        <f t="shared" si="15"/>
        <v>528.09329424307032</v>
      </c>
      <c r="V120" s="64">
        <f t="shared" si="15"/>
        <v>528.09329424307032</v>
      </c>
      <c r="W120" s="163" t="s">
        <v>495</v>
      </c>
      <c r="X120" s="156" t="e">
        <f>+N120-#REF!</f>
        <v>#REF!</v>
      </c>
      <c r="Y120" s="153">
        <v>406300.67</v>
      </c>
      <c r="Z120" s="153">
        <f t="shared" si="17"/>
        <v>102429.59999999999</v>
      </c>
      <c r="AB120" s="156" t="e">
        <f>+N120-#REF!</f>
        <v>#REF!</v>
      </c>
      <c r="AC120" s="164">
        <f>+N120-'[12]Приложение № 4'!E115</f>
        <v>0</v>
      </c>
      <c r="AE120" s="165" t="e">
        <f>+N120-#REF!</f>
        <v>#REF!</v>
      </c>
      <c r="AG120" s="3" t="s">
        <v>461</v>
      </c>
      <c r="AH120" s="4">
        <f t="shared" si="19"/>
        <v>497849.77016469662</v>
      </c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>
        <v>456856.65640469664</v>
      </c>
      <c r="AV120" s="4">
        <v>40993.11376</v>
      </c>
      <c r="AW120" s="4"/>
      <c r="AZ120" s="156">
        <f>+N120-'Приложение №4'!E115</f>
        <v>0</v>
      </c>
    </row>
    <row r="121" spans="1:52" ht="15" x14ac:dyDescent="0.25">
      <c r="A121" s="122">
        <f t="shared" si="12"/>
        <v>104</v>
      </c>
      <c r="B121" s="62">
        <f t="shared" si="13"/>
        <v>104</v>
      </c>
      <c r="C121" s="62" t="s">
        <v>51</v>
      </c>
      <c r="D121" s="62" t="s">
        <v>944</v>
      </c>
      <c r="E121" s="123" t="s">
        <v>114</v>
      </c>
      <c r="F121" s="123"/>
      <c r="G121" s="123" t="s">
        <v>96</v>
      </c>
      <c r="H121" s="123" t="s">
        <v>105</v>
      </c>
      <c r="I121" s="123" t="s">
        <v>98</v>
      </c>
      <c r="J121" s="64">
        <v>1550.6</v>
      </c>
      <c r="K121" s="64">
        <v>1422.7</v>
      </c>
      <c r="L121" s="64">
        <v>0</v>
      </c>
      <c r="M121" s="124">
        <v>61</v>
      </c>
      <c r="N121" s="95">
        <f t="shared" si="18"/>
        <v>219585.07</v>
      </c>
      <c r="O121" s="64">
        <v>0</v>
      </c>
      <c r="P121" s="64"/>
      <c r="Q121" s="64"/>
      <c r="R121" s="64">
        <f>+'[12]Приложение № 4'!E116</f>
        <v>219585.07</v>
      </c>
      <c r="S121" s="64"/>
      <c r="T121" s="64"/>
      <c r="U121" s="64">
        <f t="shared" si="15"/>
        <v>154.34390243902439</v>
      </c>
      <c r="V121" s="64">
        <f t="shared" si="15"/>
        <v>154.34390243902439</v>
      </c>
      <c r="W121" s="163" t="s">
        <v>495</v>
      </c>
      <c r="X121" s="156" t="e">
        <f>+N121-#REF!</f>
        <v>#REF!</v>
      </c>
      <c r="Y121" s="153">
        <v>534785.07999999996</v>
      </c>
      <c r="Z121" s="153">
        <f t="shared" si="17"/>
        <v>155358.84</v>
      </c>
      <c r="AB121" s="156" t="e">
        <f>+N121-#REF!</f>
        <v>#REF!</v>
      </c>
      <c r="AC121" s="164">
        <f>+N121-'[12]Приложение № 4'!E116</f>
        <v>0</v>
      </c>
      <c r="AE121" s="165" t="e">
        <f>+N121-#REF!</f>
        <v>#REF!</v>
      </c>
      <c r="AG121" s="3" t="s">
        <v>944</v>
      </c>
      <c r="AH121" s="4">
        <f t="shared" si="19"/>
        <v>220621.71978239997</v>
      </c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>
        <v>196621.71978239997</v>
      </c>
      <c r="AV121" s="4">
        <v>24000</v>
      </c>
      <c r="AW121" s="4"/>
      <c r="AZ121" s="156">
        <f>+N121-'Приложение №4'!E116</f>
        <v>0</v>
      </c>
    </row>
    <row r="122" spans="1:52" ht="15" x14ac:dyDescent="0.25">
      <c r="A122" s="122">
        <f t="shared" si="12"/>
        <v>105</v>
      </c>
      <c r="B122" s="62">
        <f t="shared" si="13"/>
        <v>105</v>
      </c>
      <c r="C122" s="62" t="s">
        <v>51</v>
      </c>
      <c r="D122" s="62" t="s">
        <v>945</v>
      </c>
      <c r="E122" s="123" t="s">
        <v>115</v>
      </c>
      <c r="F122" s="123"/>
      <c r="G122" s="123" t="s">
        <v>96</v>
      </c>
      <c r="H122" s="123" t="s">
        <v>105</v>
      </c>
      <c r="I122" s="123" t="s">
        <v>105</v>
      </c>
      <c r="J122" s="64">
        <v>2346.1999999999998</v>
      </c>
      <c r="K122" s="64">
        <v>2061.1999999999998</v>
      </c>
      <c r="L122" s="64">
        <v>0</v>
      </c>
      <c r="M122" s="124">
        <v>76</v>
      </c>
      <c r="N122" s="95">
        <f t="shared" si="18"/>
        <v>979401.28</v>
      </c>
      <c r="O122" s="64">
        <v>0</v>
      </c>
      <c r="P122" s="64"/>
      <c r="Q122" s="64"/>
      <c r="R122" s="64">
        <f>+'[12]Приложение № 4'!E117</f>
        <v>979401.28</v>
      </c>
      <c r="S122" s="64"/>
      <c r="T122" s="64"/>
      <c r="U122" s="64">
        <f t="shared" si="15"/>
        <v>475.16072190956731</v>
      </c>
      <c r="V122" s="64">
        <f t="shared" si="15"/>
        <v>475.16072190956731</v>
      </c>
      <c r="W122" s="163" t="s">
        <v>495</v>
      </c>
      <c r="X122" s="156" t="e">
        <f>+N122-#REF!</f>
        <v>#REF!</v>
      </c>
      <c r="Y122" s="153">
        <v>325686.58</v>
      </c>
      <c r="Z122" s="153">
        <f t="shared" si="17"/>
        <v>225083.03999999998</v>
      </c>
      <c r="AB122" s="156" t="e">
        <f>+N122-#REF!</f>
        <v>#REF!</v>
      </c>
      <c r="AC122" s="164">
        <f>+N122-'[12]Приложение № 4'!E117</f>
        <v>0</v>
      </c>
      <c r="AE122" s="165" t="e">
        <f>+N122-#REF!</f>
        <v>#REF!</v>
      </c>
      <c r="AG122" s="3" t="s">
        <v>945</v>
      </c>
      <c r="AH122" s="4">
        <f t="shared" si="19"/>
        <v>984444.43867041601</v>
      </c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>
        <v>941670.91837761598</v>
      </c>
      <c r="AV122" s="4">
        <v>42773.5202928</v>
      </c>
      <c r="AW122" s="4"/>
      <c r="AZ122" s="156">
        <f>+N122-'Приложение №4'!E117</f>
        <v>0</v>
      </c>
    </row>
    <row r="123" spans="1:52" ht="15" x14ac:dyDescent="0.25">
      <c r="A123" s="122">
        <f t="shared" si="12"/>
        <v>106</v>
      </c>
      <c r="B123" s="62">
        <f t="shared" si="13"/>
        <v>106</v>
      </c>
      <c r="C123" s="62" t="s">
        <v>51</v>
      </c>
      <c r="D123" s="62" t="s">
        <v>946</v>
      </c>
      <c r="E123" s="123" t="s">
        <v>134</v>
      </c>
      <c r="F123" s="123"/>
      <c r="G123" s="123" t="s">
        <v>96</v>
      </c>
      <c r="H123" s="123" t="s">
        <v>105</v>
      </c>
      <c r="I123" s="123" t="s">
        <v>105</v>
      </c>
      <c r="J123" s="64">
        <v>2357.3000000000002</v>
      </c>
      <c r="K123" s="64">
        <v>2077</v>
      </c>
      <c r="L123" s="64">
        <v>0</v>
      </c>
      <c r="M123" s="124">
        <v>74</v>
      </c>
      <c r="N123" s="95">
        <f t="shared" si="18"/>
        <v>1060519.5599999998</v>
      </c>
      <c r="O123" s="64">
        <v>0</v>
      </c>
      <c r="P123" s="64"/>
      <c r="Q123" s="64"/>
      <c r="R123" s="64">
        <f>+'[12]Приложение № 4'!E118</f>
        <v>1060519.5599999998</v>
      </c>
      <c r="S123" s="64"/>
      <c r="T123" s="64"/>
      <c r="U123" s="64">
        <f t="shared" si="15"/>
        <v>510.60161771786221</v>
      </c>
      <c r="V123" s="64">
        <f t="shared" si="15"/>
        <v>510.60161771786221</v>
      </c>
      <c r="W123" s="163" t="s">
        <v>495</v>
      </c>
      <c r="X123" s="156" t="e">
        <f>+N123-#REF!</f>
        <v>#REF!</v>
      </c>
      <c r="Y123" s="153">
        <v>304582.27</v>
      </c>
      <c r="Z123" s="153">
        <f t="shared" si="17"/>
        <v>226808.40000000002</v>
      </c>
      <c r="AB123" s="156" t="e">
        <f>+N123-#REF!</f>
        <v>#REF!</v>
      </c>
      <c r="AC123" s="164">
        <f>+N123-'[12]Приложение № 4'!E118</f>
        <v>0</v>
      </c>
      <c r="AE123" s="165" t="e">
        <f>+N123-#REF!</f>
        <v>#REF!</v>
      </c>
      <c r="AG123" s="3" t="s">
        <v>946</v>
      </c>
      <c r="AH123" s="4">
        <f t="shared" si="19"/>
        <v>1065990.8748491961</v>
      </c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>
        <v>1023197.526137996</v>
      </c>
      <c r="AV123" s="4">
        <v>42793.3487112</v>
      </c>
      <c r="AW123" s="4"/>
      <c r="AZ123" s="156">
        <f>+N123-'Приложение №4'!E118</f>
        <v>0</v>
      </c>
    </row>
    <row r="124" spans="1:52" ht="15" x14ac:dyDescent="0.25">
      <c r="A124" s="122">
        <f t="shared" si="12"/>
        <v>107</v>
      </c>
      <c r="B124" s="62">
        <f t="shared" si="13"/>
        <v>107</v>
      </c>
      <c r="C124" s="62" t="s">
        <v>51</v>
      </c>
      <c r="D124" s="62" t="s">
        <v>947</v>
      </c>
      <c r="E124" s="123" t="s">
        <v>124</v>
      </c>
      <c r="F124" s="123"/>
      <c r="G124" s="123" t="s">
        <v>96</v>
      </c>
      <c r="H124" s="123" t="s">
        <v>105</v>
      </c>
      <c r="I124" s="123" t="s">
        <v>105</v>
      </c>
      <c r="J124" s="64">
        <v>2308.9</v>
      </c>
      <c r="K124" s="64">
        <v>2086</v>
      </c>
      <c r="L124" s="64">
        <v>0</v>
      </c>
      <c r="M124" s="124">
        <v>71</v>
      </c>
      <c r="N124" s="95">
        <f t="shared" si="18"/>
        <v>1130630.8899999999</v>
      </c>
      <c r="O124" s="64">
        <v>0</v>
      </c>
      <c r="P124" s="64"/>
      <c r="Q124" s="64"/>
      <c r="R124" s="64">
        <f>+'[12]Приложение № 4'!E119</f>
        <v>1130630.8899999999</v>
      </c>
      <c r="S124" s="64"/>
      <c r="T124" s="64"/>
      <c r="U124" s="64">
        <f t="shared" si="15"/>
        <v>542.00905560882063</v>
      </c>
      <c r="V124" s="64">
        <f t="shared" si="15"/>
        <v>542.00905560882063</v>
      </c>
      <c r="W124" s="163" t="s">
        <v>495</v>
      </c>
      <c r="X124" s="156" t="e">
        <f>+N124-#REF!</f>
        <v>#REF!</v>
      </c>
      <c r="Y124" s="153">
        <v>346415.08</v>
      </c>
      <c r="Z124" s="153">
        <f t="shared" si="17"/>
        <v>227791.19999999998</v>
      </c>
      <c r="AB124" s="156" t="e">
        <f>+N124-#REF!</f>
        <v>#REF!</v>
      </c>
      <c r="AC124" s="164">
        <f>+N124-'[12]Приложение № 4'!E119</f>
        <v>0</v>
      </c>
      <c r="AE124" s="165" t="e">
        <f>+N124-#REF!</f>
        <v>#REF!</v>
      </c>
      <c r="AG124" s="3" t="s">
        <v>947</v>
      </c>
      <c r="AH124" s="4">
        <f t="shared" si="19"/>
        <v>1136472.2892434057</v>
      </c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>
        <v>1093765.3995818056</v>
      </c>
      <c r="AV124" s="4">
        <v>42706.889661599998</v>
      </c>
      <c r="AW124" s="4"/>
      <c r="AZ124" s="156">
        <f>+N124-'Приложение №4'!E119</f>
        <v>0</v>
      </c>
    </row>
    <row r="125" spans="1:52" ht="15" x14ac:dyDescent="0.25">
      <c r="A125" s="122">
        <f t="shared" si="12"/>
        <v>108</v>
      </c>
      <c r="B125" s="62">
        <f t="shared" si="13"/>
        <v>108</v>
      </c>
      <c r="C125" s="62" t="s">
        <v>51</v>
      </c>
      <c r="D125" s="62" t="s">
        <v>948</v>
      </c>
      <c r="E125" s="123" t="s">
        <v>125</v>
      </c>
      <c r="F125" s="123"/>
      <c r="G125" s="123" t="s">
        <v>96</v>
      </c>
      <c r="H125" s="123" t="s">
        <v>108</v>
      </c>
      <c r="I125" s="123" t="s">
        <v>105</v>
      </c>
      <c r="J125" s="64">
        <v>3459.2</v>
      </c>
      <c r="K125" s="64">
        <v>3025</v>
      </c>
      <c r="L125" s="64">
        <v>108</v>
      </c>
      <c r="M125" s="124">
        <v>131</v>
      </c>
      <c r="N125" s="95">
        <f t="shared" si="18"/>
        <v>1051018.73</v>
      </c>
      <c r="O125" s="64">
        <v>0</v>
      </c>
      <c r="P125" s="64"/>
      <c r="Q125" s="64"/>
      <c r="R125" s="64">
        <f>+'[12]Приложение № 4'!E120</f>
        <v>1051018.73</v>
      </c>
      <c r="S125" s="64"/>
      <c r="T125" s="64"/>
      <c r="U125" s="64">
        <f t="shared" si="15"/>
        <v>335.46719757420999</v>
      </c>
      <c r="V125" s="64">
        <f t="shared" si="15"/>
        <v>335.46719757420999</v>
      </c>
      <c r="W125" s="163" t="s">
        <v>495</v>
      </c>
      <c r="X125" s="156" t="e">
        <f>+N125-#REF!</f>
        <v>#REF!</v>
      </c>
      <c r="Y125" s="153">
        <v>980873.14</v>
      </c>
      <c r="Z125" s="153">
        <f t="shared" si="17"/>
        <v>353904.24</v>
      </c>
      <c r="AB125" s="156" t="e">
        <f>+N125-#REF!</f>
        <v>#REF!</v>
      </c>
      <c r="AC125" s="164">
        <f>+N125-'[12]Приложение № 4'!E120</f>
        <v>0</v>
      </c>
      <c r="AE125" s="165" t="e">
        <f>+N125-#REF!</f>
        <v>#REF!</v>
      </c>
      <c r="AG125" s="3" t="s">
        <v>948</v>
      </c>
      <c r="AH125" s="4">
        <f t="shared" si="19"/>
        <v>1063018.7138930743</v>
      </c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>
        <v>1039018.7138930743</v>
      </c>
      <c r="AV125" s="4">
        <v>24000</v>
      </c>
      <c r="AW125" s="4"/>
      <c r="AZ125" s="156">
        <f>+N125-'Приложение №4'!E120</f>
        <v>0</v>
      </c>
    </row>
    <row r="126" spans="1:52" ht="15" x14ac:dyDescent="0.25">
      <c r="A126" s="122">
        <f t="shared" si="12"/>
        <v>109</v>
      </c>
      <c r="B126" s="62">
        <f t="shared" si="13"/>
        <v>109</v>
      </c>
      <c r="C126" s="62" t="s">
        <v>51</v>
      </c>
      <c r="D126" s="62" t="s">
        <v>949</v>
      </c>
      <c r="E126" s="123" t="s">
        <v>514</v>
      </c>
      <c r="F126" s="123"/>
      <c r="G126" s="123" t="s">
        <v>96</v>
      </c>
      <c r="H126" s="123" t="s">
        <v>108</v>
      </c>
      <c r="I126" s="123" t="s">
        <v>101</v>
      </c>
      <c r="J126" s="64">
        <v>5104.3</v>
      </c>
      <c r="K126" s="64">
        <v>8567.7000000000007</v>
      </c>
      <c r="L126" s="64">
        <v>547.70000000000005</v>
      </c>
      <c r="M126" s="124">
        <v>144</v>
      </c>
      <c r="N126" s="95">
        <f t="shared" si="18"/>
        <v>865571.13</v>
      </c>
      <c r="O126" s="64">
        <v>0</v>
      </c>
      <c r="P126" s="64"/>
      <c r="Q126" s="64"/>
      <c r="R126" s="64">
        <f>+'[12]Приложение № 4'!E121</f>
        <v>865571.13</v>
      </c>
      <c r="S126" s="64"/>
      <c r="T126" s="64"/>
      <c r="U126" s="64">
        <f t="shared" si="15"/>
        <v>94.957010114750844</v>
      </c>
      <c r="V126" s="64">
        <f t="shared" si="15"/>
        <v>94.957010114750844</v>
      </c>
      <c r="W126" s="163" t="s">
        <v>495</v>
      </c>
      <c r="X126" s="156" t="e">
        <f>+N126-#REF!</f>
        <v>#REF!</v>
      </c>
      <c r="Y126" s="153">
        <v>1455916.43</v>
      </c>
      <c r="Z126" s="153">
        <f t="shared" si="17"/>
        <v>1055144.7960000001</v>
      </c>
      <c r="AB126" s="156" t="e">
        <f>+N126-#REF!</f>
        <v>#REF!</v>
      </c>
      <c r="AC126" s="164">
        <f>+N126-'[12]Приложение № 4'!E121</f>
        <v>0</v>
      </c>
      <c r="AE126" s="165" t="e">
        <f>+N126-#REF!</f>
        <v>#REF!</v>
      </c>
      <c r="AG126" s="3" t="s">
        <v>949</v>
      </c>
      <c r="AH126" s="4">
        <f t="shared" si="19"/>
        <v>751643.04666558723</v>
      </c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>
        <v>705245.18751198729</v>
      </c>
      <c r="AV126" s="4">
        <v>46397.859153600002</v>
      </c>
      <c r="AW126" s="4"/>
      <c r="AZ126" s="156">
        <f>+N126-'Приложение №4'!E121</f>
        <v>0</v>
      </c>
    </row>
    <row r="127" spans="1:52" ht="15" x14ac:dyDescent="0.25">
      <c r="A127" s="122">
        <f t="shared" si="12"/>
        <v>110</v>
      </c>
      <c r="B127" s="62">
        <f t="shared" si="13"/>
        <v>110</v>
      </c>
      <c r="C127" s="62" t="s">
        <v>51</v>
      </c>
      <c r="D127" s="62" t="s">
        <v>950</v>
      </c>
      <c r="E127" s="123" t="s">
        <v>516</v>
      </c>
      <c r="F127" s="123"/>
      <c r="G127" s="123" t="s">
        <v>96</v>
      </c>
      <c r="H127" s="123" t="s">
        <v>98</v>
      </c>
      <c r="I127" s="123" t="s">
        <v>98</v>
      </c>
      <c r="J127" s="64">
        <v>620.9</v>
      </c>
      <c r="K127" s="64">
        <v>1710.4</v>
      </c>
      <c r="L127" s="64">
        <v>325</v>
      </c>
      <c r="M127" s="124">
        <v>43</v>
      </c>
      <c r="N127" s="95">
        <f t="shared" si="18"/>
        <v>206798.07999999999</v>
      </c>
      <c r="O127" s="64">
        <v>0</v>
      </c>
      <c r="P127" s="64"/>
      <c r="Q127" s="64"/>
      <c r="R127" s="64">
        <f>+'[12]Приложение № 4'!E122</f>
        <v>206798.07999999999</v>
      </c>
      <c r="S127" s="64"/>
      <c r="T127" s="64"/>
      <c r="U127" s="64">
        <f t="shared" si="15"/>
        <v>101.60070747764566</v>
      </c>
      <c r="V127" s="64">
        <f t="shared" si="15"/>
        <v>101.60070747764566</v>
      </c>
      <c r="W127" s="163" t="s">
        <v>495</v>
      </c>
      <c r="X127" s="156" t="e">
        <f>+N127-#REF!</f>
        <v>#REF!</v>
      </c>
      <c r="Y127" s="153">
        <v>309304.64</v>
      </c>
      <c r="Z127" s="153">
        <f t="shared" si="17"/>
        <v>257716.68</v>
      </c>
      <c r="AB127" s="156" t="e">
        <f>+N127-#REF!</f>
        <v>#REF!</v>
      </c>
      <c r="AC127" s="164">
        <f>+N127-'[12]Приложение № 4'!E122</f>
        <v>0</v>
      </c>
      <c r="AE127" s="165" t="e">
        <f>+N127-#REF!</f>
        <v>#REF!</v>
      </c>
      <c r="AG127" s="3" t="s">
        <v>351</v>
      </c>
      <c r="AH127" s="4">
        <f t="shared" si="19"/>
        <v>220798.07952000003</v>
      </c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>
        <v>196798.07952000003</v>
      </c>
      <c r="AV127" s="4">
        <v>24000</v>
      </c>
      <c r="AW127" s="4"/>
      <c r="AZ127" s="156">
        <f>+N127-'Приложение №4'!E122</f>
        <v>0</v>
      </c>
    </row>
    <row r="128" spans="1:52" ht="15" x14ac:dyDescent="0.25">
      <c r="A128" s="122">
        <f t="shared" si="12"/>
        <v>111</v>
      </c>
      <c r="B128" s="62">
        <f t="shared" si="13"/>
        <v>111</v>
      </c>
      <c r="C128" s="62" t="s">
        <v>94</v>
      </c>
      <c r="D128" s="62" t="s">
        <v>604</v>
      </c>
      <c r="E128" s="123">
        <v>1991</v>
      </c>
      <c r="F128" s="123"/>
      <c r="G128" s="123" t="s">
        <v>47</v>
      </c>
      <c r="H128" s="123" t="s">
        <v>108</v>
      </c>
      <c r="I128" s="123" t="s">
        <v>105</v>
      </c>
      <c r="J128" s="64">
        <v>4887.3</v>
      </c>
      <c r="K128" s="64">
        <v>4825.5</v>
      </c>
      <c r="L128" s="64">
        <v>0</v>
      </c>
      <c r="M128" s="124">
        <v>240</v>
      </c>
      <c r="N128" s="95">
        <f t="shared" si="18"/>
        <v>630100.6</v>
      </c>
      <c r="O128" s="64"/>
      <c r="P128" s="64"/>
      <c r="Q128" s="64"/>
      <c r="R128" s="64">
        <f>+'Приложение №4'!E123</f>
        <v>630100.6</v>
      </c>
      <c r="S128" s="64"/>
      <c r="T128" s="64"/>
      <c r="U128" s="64">
        <f t="shared" si="15"/>
        <v>130.57726660449694</v>
      </c>
      <c r="V128" s="64">
        <f t="shared" si="15"/>
        <v>130.57726660449694</v>
      </c>
      <c r="W128" s="163" t="s">
        <v>495</v>
      </c>
      <c r="X128" s="156"/>
      <c r="AB128" s="156"/>
      <c r="AC128" s="164"/>
      <c r="AE128" s="165"/>
      <c r="AG128" s="3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Z128" s="156">
        <f>+N128-'Приложение №4'!E123</f>
        <v>0</v>
      </c>
    </row>
    <row r="129" spans="1:52" ht="15" x14ac:dyDescent="0.25">
      <c r="A129" s="122">
        <f t="shared" si="12"/>
        <v>112</v>
      </c>
      <c r="B129" s="62">
        <f t="shared" si="13"/>
        <v>112</v>
      </c>
      <c r="C129" s="62" t="s">
        <v>94</v>
      </c>
      <c r="D129" s="62" t="s">
        <v>401</v>
      </c>
      <c r="E129" s="123" t="s">
        <v>110</v>
      </c>
      <c r="F129" s="123"/>
      <c r="G129" s="123" t="s">
        <v>96</v>
      </c>
      <c r="H129" s="123" t="s">
        <v>108</v>
      </c>
      <c r="I129" s="123" t="s">
        <v>105</v>
      </c>
      <c r="J129" s="64">
        <v>2793.1</v>
      </c>
      <c r="K129" s="64">
        <v>2478.8000000000002</v>
      </c>
      <c r="L129" s="64">
        <v>0</v>
      </c>
      <c r="M129" s="124">
        <v>97</v>
      </c>
      <c r="N129" s="95">
        <f t="shared" si="18"/>
        <v>24000</v>
      </c>
      <c r="O129" s="64">
        <v>0</v>
      </c>
      <c r="P129" s="64"/>
      <c r="Q129" s="64"/>
      <c r="R129" s="64">
        <f>+'Приложение №4'!E124</f>
        <v>24000</v>
      </c>
      <c r="S129" s="64"/>
      <c r="T129" s="64"/>
      <c r="U129" s="64">
        <f t="shared" si="15"/>
        <v>9.682104243989027</v>
      </c>
      <c r="V129" s="64">
        <f t="shared" si="15"/>
        <v>9.682104243989027</v>
      </c>
      <c r="W129" s="163" t="s">
        <v>495</v>
      </c>
      <c r="X129" s="156" t="e">
        <f>+N129-#REF!</f>
        <v>#REF!</v>
      </c>
      <c r="Y129" s="153">
        <v>828198.71</v>
      </c>
      <c r="Z129" s="153">
        <f t="shared" si="17"/>
        <v>270684.96000000002</v>
      </c>
      <c r="AB129" s="156" t="e">
        <f>+N129-#REF!</f>
        <v>#REF!</v>
      </c>
      <c r="AC129" s="164">
        <f>+N129-'[12]Приложение № 4'!E123</f>
        <v>-606100.6</v>
      </c>
      <c r="AE129" s="165" t="e">
        <f>+N129-#REF!</f>
        <v>#REF!</v>
      </c>
      <c r="AG129" s="3" t="s">
        <v>401</v>
      </c>
      <c r="AH129" s="4">
        <f t="shared" si="19"/>
        <v>659811.70527286374</v>
      </c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>
        <v>616952.64462166373</v>
      </c>
      <c r="AV129" s="4">
        <v>42859.060651200001</v>
      </c>
      <c r="AW129" s="4"/>
      <c r="AZ129" s="156">
        <f>+N129-'Приложение №4'!E124</f>
        <v>0</v>
      </c>
    </row>
    <row r="130" spans="1:52" ht="15" x14ac:dyDescent="0.25">
      <c r="A130" s="122">
        <f t="shared" si="12"/>
        <v>113</v>
      </c>
      <c r="B130" s="62">
        <f t="shared" si="13"/>
        <v>113</v>
      </c>
      <c r="C130" s="62" t="s">
        <v>94</v>
      </c>
      <c r="D130" s="62" t="s">
        <v>994</v>
      </c>
      <c r="E130" s="123">
        <v>1980</v>
      </c>
      <c r="F130" s="123">
        <v>2013</v>
      </c>
      <c r="G130" s="123" t="s">
        <v>47</v>
      </c>
      <c r="H130" s="123">
        <v>4</v>
      </c>
      <c r="I130" s="123">
        <v>4</v>
      </c>
      <c r="J130" s="64">
        <v>3666.2</v>
      </c>
      <c r="K130" s="64">
        <v>3438.3</v>
      </c>
      <c r="L130" s="64">
        <v>0</v>
      </c>
      <c r="M130" s="124">
        <v>147</v>
      </c>
      <c r="N130" s="95">
        <f t="shared" si="18"/>
        <v>24000</v>
      </c>
      <c r="O130" s="64"/>
      <c r="P130" s="64"/>
      <c r="Q130" s="64"/>
      <c r="R130" s="64">
        <f>+'[12]Приложение № 4'!E124</f>
        <v>24000</v>
      </c>
      <c r="S130" s="64"/>
      <c r="T130" s="64"/>
      <c r="U130" s="64">
        <f t="shared" si="15"/>
        <v>6.9801937003751853</v>
      </c>
      <c r="V130" s="64">
        <f t="shared" si="15"/>
        <v>6.9801937003751853</v>
      </c>
      <c r="W130" s="163" t="s">
        <v>495</v>
      </c>
      <c r="AC130" s="164">
        <f>+N130-'[12]Приложение № 4'!E124</f>
        <v>0</v>
      </c>
      <c r="AG130" s="166" t="s">
        <v>994</v>
      </c>
      <c r="AH130" s="4">
        <f t="shared" si="19"/>
        <v>626853.32070000004</v>
      </c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8">
        <v>626853.32070000004</v>
      </c>
      <c r="AW130" s="168"/>
      <c r="AZ130" s="156">
        <f>+N130-'Приложение №4'!E125</f>
        <v>0</v>
      </c>
    </row>
    <row r="131" spans="1:52" ht="15" x14ac:dyDescent="0.25">
      <c r="A131" s="122">
        <f t="shared" si="12"/>
        <v>114</v>
      </c>
      <c r="B131" s="62">
        <f t="shared" si="13"/>
        <v>114</v>
      </c>
      <c r="C131" s="62" t="s">
        <v>94</v>
      </c>
      <c r="D131" s="62" t="s">
        <v>541</v>
      </c>
      <c r="E131" s="123">
        <v>1987</v>
      </c>
      <c r="F131" s="123">
        <v>1987</v>
      </c>
      <c r="G131" s="123" t="s">
        <v>43</v>
      </c>
      <c r="H131" s="123">
        <v>2</v>
      </c>
      <c r="I131" s="123">
        <v>3</v>
      </c>
      <c r="J131" s="64">
        <v>921.2</v>
      </c>
      <c r="K131" s="64">
        <v>834.2</v>
      </c>
      <c r="L131" s="64">
        <v>0</v>
      </c>
      <c r="M131" s="124">
        <v>40</v>
      </c>
      <c r="N131" s="95">
        <f t="shared" si="18"/>
        <v>24000</v>
      </c>
      <c r="O131" s="64"/>
      <c r="P131" s="64"/>
      <c r="Q131" s="64"/>
      <c r="R131" s="64">
        <f>+'[12]Приложение № 4'!E125</f>
        <v>24000</v>
      </c>
      <c r="S131" s="64"/>
      <c r="T131" s="64"/>
      <c r="U131" s="64">
        <f t="shared" si="15"/>
        <v>28.770079117717572</v>
      </c>
      <c r="V131" s="64">
        <f t="shared" si="15"/>
        <v>28.770079117717572</v>
      </c>
      <c r="W131" s="163" t="s">
        <v>495</v>
      </c>
      <c r="AC131" s="164">
        <f>+N131-'[12]Приложение № 4'!E125</f>
        <v>0</v>
      </c>
      <c r="AG131" s="166" t="s">
        <v>541</v>
      </c>
      <c r="AH131" s="4">
        <f t="shared" si="19"/>
        <v>266070.50920000003</v>
      </c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8">
        <v>266070.50920000003</v>
      </c>
      <c r="AW131" s="168"/>
      <c r="AZ131" s="156">
        <f>+N131-'Приложение №4'!E126</f>
        <v>0</v>
      </c>
    </row>
    <row r="132" spans="1:52" ht="15" x14ac:dyDescent="0.25">
      <c r="A132" s="122">
        <f t="shared" si="12"/>
        <v>115</v>
      </c>
      <c r="B132" s="62">
        <f t="shared" si="13"/>
        <v>115</v>
      </c>
      <c r="C132" s="62" t="s">
        <v>94</v>
      </c>
      <c r="D132" s="62" t="s">
        <v>542</v>
      </c>
      <c r="E132" s="123">
        <v>1993</v>
      </c>
      <c r="F132" s="123">
        <v>2005</v>
      </c>
      <c r="G132" s="123" t="s">
        <v>43</v>
      </c>
      <c r="H132" s="123">
        <v>2</v>
      </c>
      <c r="I132" s="123">
        <v>3</v>
      </c>
      <c r="J132" s="64">
        <v>1053</v>
      </c>
      <c r="K132" s="64">
        <v>899.4</v>
      </c>
      <c r="L132" s="64">
        <v>0</v>
      </c>
      <c r="M132" s="124">
        <v>34</v>
      </c>
      <c r="N132" s="95">
        <f t="shared" si="18"/>
        <v>24000</v>
      </c>
      <c r="O132" s="64"/>
      <c r="P132" s="64"/>
      <c r="Q132" s="64"/>
      <c r="R132" s="64">
        <f>+'[12]Приложение № 4'!E126</f>
        <v>24000</v>
      </c>
      <c r="S132" s="64"/>
      <c r="T132" s="64"/>
      <c r="U132" s="64">
        <f t="shared" si="15"/>
        <v>26.684456304202804</v>
      </c>
      <c r="V132" s="64">
        <f t="shared" si="15"/>
        <v>26.684456304202804</v>
      </c>
      <c r="W132" s="163" t="s">
        <v>495</v>
      </c>
      <c r="AC132" s="164">
        <f>+N132-'[12]Приложение № 4'!E126</f>
        <v>0</v>
      </c>
      <c r="AG132" s="166" t="s">
        <v>542</v>
      </c>
      <c r="AH132" s="4">
        <f t="shared" si="19"/>
        <v>286866.23820000002</v>
      </c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8">
        <v>286866.23820000002</v>
      </c>
      <c r="AW132" s="168"/>
      <c r="AZ132" s="156">
        <f>+N132-'Приложение №4'!E127</f>
        <v>0</v>
      </c>
    </row>
    <row r="133" spans="1:52" ht="15" x14ac:dyDescent="0.25">
      <c r="A133" s="122">
        <f t="shared" si="12"/>
        <v>116</v>
      </c>
      <c r="B133" s="62">
        <f t="shared" si="13"/>
        <v>116</v>
      </c>
      <c r="C133" s="62" t="s">
        <v>94</v>
      </c>
      <c r="D133" s="62" t="s">
        <v>543</v>
      </c>
      <c r="E133" s="123">
        <v>1978</v>
      </c>
      <c r="F133" s="123">
        <v>1996</v>
      </c>
      <c r="G133" s="123" t="s">
        <v>43</v>
      </c>
      <c r="H133" s="123">
        <v>2</v>
      </c>
      <c r="I133" s="123">
        <v>2</v>
      </c>
      <c r="J133" s="64">
        <v>686.4</v>
      </c>
      <c r="K133" s="64">
        <v>611</v>
      </c>
      <c r="L133" s="64">
        <v>0</v>
      </c>
      <c r="M133" s="124">
        <v>32</v>
      </c>
      <c r="N133" s="95">
        <f t="shared" si="18"/>
        <v>24000</v>
      </c>
      <c r="O133" s="64"/>
      <c r="P133" s="64"/>
      <c r="Q133" s="64"/>
      <c r="R133" s="64">
        <f>+'[12]Приложение № 4'!E127</f>
        <v>24000</v>
      </c>
      <c r="S133" s="64"/>
      <c r="T133" s="64"/>
      <c r="U133" s="64">
        <f t="shared" si="15"/>
        <v>39.279869067103107</v>
      </c>
      <c r="V133" s="64">
        <f t="shared" si="15"/>
        <v>39.279869067103107</v>
      </c>
      <c r="W133" s="163" t="s">
        <v>495</v>
      </c>
      <c r="AC133" s="164">
        <f>+N133-'[12]Приложение № 4'!E127</f>
        <v>0</v>
      </c>
      <c r="AG133" s="166" t="s">
        <v>543</v>
      </c>
      <c r="AH133" s="4">
        <f t="shared" si="19"/>
        <v>194880.2219</v>
      </c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8">
        <v>194880.2219</v>
      </c>
      <c r="AW133" s="168"/>
      <c r="AZ133" s="156">
        <f>+N133-'Приложение №4'!E128</f>
        <v>0</v>
      </c>
    </row>
    <row r="134" spans="1:52" ht="15" x14ac:dyDescent="0.25">
      <c r="A134" s="122">
        <f t="shared" si="12"/>
        <v>117</v>
      </c>
      <c r="B134" s="62">
        <f t="shared" si="13"/>
        <v>117</v>
      </c>
      <c r="C134" s="62" t="s">
        <v>94</v>
      </c>
      <c r="D134" s="62" t="s">
        <v>544</v>
      </c>
      <c r="E134" s="123">
        <v>1979</v>
      </c>
      <c r="F134" s="123">
        <v>1996</v>
      </c>
      <c r="G134" s="123" t="s">
        <v>43</v>
      </c>
      <c r="H134" s="123">
        <v>2</v>
      </c>
      <c r="I134" s="123">
        <v>2</v>
      </c>
      <c r="J134" s="64">
        <v>686.8</v>
      </c>
      <c r="K134" s="64">
        <v>610.6</v>
      </c>
      <c r="L134" s="64">
        <v>0</v>
      </c>
      <c r="M134" s="124">
        <v>28</v>
      </c>
      <c r="N134" s="95">
        <f t="shared" si="18"/>
        <v>24000</v>
      </c>
      <c r="O134" s="64"/>
      <c r="P134" s="64"/>
      <c r="Q134" s="64"/>
      <c r="R134" s="64">
        <f>+'[12]Приложение № 4'!E128</f>
        <v>24000</v>
      </c>
      <c r="S134" s="64"/>
      <c r="T134" s="64"/>
      <c r="U134" s="64">
        <f t="shared" si="15"/>
        <v>39.305601048149363</v>
      </c>
      <c r="V134" s="64">
        <f t="shared" si="15"/>
        <v>39.305601048149363</v>
      </c>
      <c r="W134" s="163" t="s">
        <v>495</v>
      </c>
      <c r="AC134" s="164">
        <f>+N134-'[12]Приложение № 4'!E128</f>
        <v>0</v>
      </c>
      <c r="AG134" s="166" t="s">
        <v>544</v>
      </c>
      <c r="AH134" s="4">
        <f t="shared" si="19"/>
        <v>194752.64080000002</v>
      </c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8">
        <v>194752.64080000002</v>
      </c>
      <c r="AW134" s="168"/>
      <c r="AZ134" s="156">
        <f>+N134-'Приложение №4'!E129</f>
        <v>0</v>
      </c>
    </row>
    <row r="135" spans="1:52" ht="15" x14ac:dyDescent="0.25">
      <c r="A135" s="122">
        <f t="shared" si="12"/>
        <v>118</v>
      </c>
      <c r="B135" s="62">
        <f t="shared" si="13"/>
        <v>118</v>
      </c>
      <c r="C135" s="62" t="s">
        <v>94</v>
      </c>
      <c r="D135" s="62" t="s">
        <v>251</v>
      </c>
      <c r="E135" s="123" t="s">
        <v>497</v>
      </c>
      <c r="F135" s="123"/>
      <c r="G135" s="123" t="s">
        <v>96</v>
      </c>
      <c r="H135" s="123" t="s">
        <v>105</v>
      </c>
      <c r="I135" s="123" t="s">
        <v>98</v>
      </c>
      <c r="J135" s="64">
        <v>1357.6</v>
      </c>
      <c r="K135" s="64">
        <v>1259.3</v>
      </c>
      <c r="L135" s="64">
        <v>0</v>
      </c>
      <c r="M135" s="124">
        <v>70</v>
      </c>
      <c r="N135" s="95">
        <f>+P135+Q135+R135+S135+T135</f>
        <v>1182275.27</v>
      </c>
      <c r="O135" s="64">
        <v>0</v>
      </c>
      <c r="P135" s="64"/>
      <c r="Q135" s="64"/>
      <c r="R135" s="64">
        <f>+'[12]Приложение № 4'!E129</f>
        <v>1182275.27</v>
      </c>
      <c r="S135" s="64"/>
      <c r="T135" s="64"/>
      <c r="U135" s="64">
        <f t="shared" si="15"/>
        <v>938.83528150559835</v>
      </c>
      <c r="V135" s="64">
        <f t="shared" si="15"/>
        <v>938.83528150559835</v>
      </c>
      <c r="W135" s="163" t="s">
        <v>495</v>
      </c>
      <c r="X135" s="156" t="e">
        <f>+N135-#REF!</f>
        <v>#REF!</v>
      </c>
      <c r="Y135" s="153">
        <v>471220.78</v>
      </c>
      <c r="Z135" s="153">
        <f>+(K135*9.1+L135*18.19)*12</f>
        <v>137515.56</v>
      </c>
      <c r="AB135" s="156" t="e">
        <f>+N135-#REF!</f>
        <v>#REF!</v>
      </c>
      <c r="AC135" s="164">
        <f>+N135-'[12]Приложение № 4'!E129</f>
        <v>0</v>
      </c>
      <c r="AE135" s="165" t="e">
        <f>+N135-#REF!</f>
        <v>#REF!</v>
      </c>
      <c r="AG135" s="3" t="s">
        <v>251</v>
      </c>
      <c r="AH135" s="4">
        <f>SUM(AI135:AW135)</f>
        <v>1200341.336603638</v>
      </c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>
        <v>1159333.795989238</v>
      </c>
      <c r="AV135" s="4">
        <v>41007.540614400001</v>
      </c>
      <c r="AW135" s="4"/>
      <c r="AZ135" s="156">
        <f>+N135-'Приложение №4'!E130</f>
        <v>0</v>
      </c>
    </row>
    <row r="136" spans="1:52" ht="15" x14ac:dyDescent="0.25">
      <c r="A136" s="122">
        <f t="shared" si="12"/>
        <v>119</v>
      </c>
      <c r="B136" s="62">
        <f t="shared" si="13"/>
        <v>119</v>
      </c>
      <c r="C136" s="62" t="s">
        <v>94</v>
      </c>
      <c r="D136" s="62" t="s">
        <v>252</v>
      </c>
      <c r="E136" s="123" t="s">
        <v>502</v>
      </c>
      <c r="F136" s="123"/>
      <c r="G136" s="123" t="s">
        <v>96</v>
      </c>
      <c r="H136" s="123" t="s">
        <v>105</v>
      </c>
      <c r="I136" s="123" t="s">
        <v>98</v>
      </c>
      <c r="J136" s="64">
        <v>1296.0999999999999</v>
      </c>
      <c r="K136" s="64">
        <v>1199.4000000000001</v>
      </c>
      <c r="L136" s="64">
        <v>0</v>
      </c>
      <c r="M136" s="124">
        <v>75</v>
      </c>
      <c r="N136" s="95">
        <f>+P136+Q136+R136+S136+T136</f>
        <v>1178062.1200000001</v>
      </c>
      <c r="O136" s="64">
        <v>0</v>
      </c>
      <c r="P136" s="64"/>
      <c r="Q136" s="64"/>
      <c r="R136" s="64">
        <f>+'[12]Приложение № 4'!E130</f>
        <v>1178062.1200000001</v>
      </c>
      <c r="S136" s="64"/>
      <c r="T136" s="64"/>
      <c r="U136" s="64">
        <f t="shared" si="15"/>
        <v>982.2095381023845</v>
      </c>
      <c r="V136" s="64">
        <f t="shared" si="15"/>
        <v>982.2095381023845</v>
      </c>
      <c r="W136" s="163" t="s">
        <v>495</v>
      </c>
      <c r="X136" s="156" t="e">
        <f>+N136-#REF!</f>
        <v>#REF!</v>
      </c>
      <c r="Y136" s="153">
        <v>429688.15</v>
      </c>
      <c r="Z136" s="153">
        <f>+(K136*9.1+L136*18.19)*12</f>
        <v>130974.48000000001</v>
      </c>
      <c r="AB136" s="156" t="e">
        <f>+N136-#REF!</f>
        <v>#REF!</v>
      </c>
      <c r="AC136" s="164">
        <f>+N136-'[12]Приложение № 4'!E130</f>
        <v>0</v>
      </c>
      <c r="AE136" s="165" t="e">
        <f>+N136-#REF!</f>
        <v>#REF!</v>
      </c>
      <c r="AG136" s="3" t="s">
        <v>252</v>
      </c>
      <c r="AH136" s="4">
        <f>SUM(AI136:AW136)</f>
        <v>1196106.3779590626</v>
      </c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>
        <v>1155208.6975006626</v>
      </c>
      <c r="AV136" s="4">
        <v>40897.680458400006</v>
      </c>
      <c r="AW136" s="4"/>
      <c r="AZ136" s="156">
        <f>+N136-'Приложение №4'!E131</f>
        <v>0</v>
      </c>
    </row>
    <row r="137" spans="1:52" ht="15" x14ac:dyDescent="0.25">
      <c r="A137" s="122">
        <f t="shared" si="12"/>
        <v>120</v>
      </c>
      <c r="B137" s="62">
        <f t="shared" si="13"/>
        <v>120</v>
      </c>
      <c r="C137" s="62" t="s">
        <v>94</v>
      </c>
      <c r="D137" s="62" t="s">
        <v>253</v>
      </c>
      <c r="E137" s="123" t="s">
        <v>120</v>
      </c>
      <c r="F137" s="123"/>
      <c r="G137" s="123" t="s">
        <v>96</v>
      </c>
      <c r="H137" s="123" t="s">
        <v>98</v>
      </c>
      <c r="I137" s="123" t="s">
        <v>98</v>
      </c>
      <c r="J137" s="64">
        <v>679.4</v>
      </c>
      <c r="K137" s="64">
        <v>425.1</v>
      </c>
      <c r="L137" s="64">
        <v>0</v>
      </c>
      <c r="M137" s="124">
        <v>38</v>
      </c>
      <c r="N137" s="95">
        <f>+P137+Q137+R137+S137+T137</f>
        <v>125146.44</v>
      </c>
      <c r="O137" s="64">
        <v>0</v>
      </c>
      <c r="P137" s="64"/>
      <c r="Q137" s="64"/>
      <c r="R137" s="64">
        <f>+'[12]Приложение № 4'!E131</f>
        <v>125146.44</v>
      </c>
      <c r="S137" s="64"/>
      <c r="T137" s="64"/>
      <c r="U137" s="64">
        <f t="shared" si="15"/>
        <v>294.3929428369795</v>
      </c>
      <c r="V137" s="64">
        <f t="shared" si="15"/>
        <v>294.3929428369795</v>
      </c>
      <c r="W137" s="163" t="s">
        <v>495</v>
      </c>
      <c r="X137" s="156" t="e">
        <f>+N137-#REF!</f>
        <v>#REF!</v>
      </c>
      <c r="Y137" s="153">
        <v>107212.06</v>
      </c>
      <c r="Z137" s="153">
        <f>+(K137*9.1+L137*18.19)*12</f>
        <v>46420.92</v>
      </c>
      <c r="AB137" s="156" t="e">
        <f>+N137-#REF!</f>
        <v>#REF!</v>
      </c>
      <c r="AC137" s="164">
        <f>+N137-'[12]Приложение № 4'!E131</f>
        <v>0</v>
      </c>
      <c r="AE137" s="165" t="e">
        <f>+N137-#REF!</f>
        <v>#REF!</v>
      </c>
      <c r="AG137" s="3" t="s">
        <v>253</v>
      </c>
      <c r="AH137" s="4">
        <f>SUM(AI137:AW137)</f>
        <v>126763.06889982734</v>
      </c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>
        <v>86154.066735667337</v>
      </c>
      <c r="AV137" s="4">
        <v>40609.002164160003</v>
      </c>
      <c r="AW137" s="4"/>
      <c r="AZ137" s="156">
        <f>+N137-'Приложение №4'!E132</f>
        <v>0</v>
      </c>
    </row>
    <row r="138" spans="1:52" ht="15" x14ac:dyDescent="0.25">
      <c r="A138" s="122">
        <f t="shared" si="12"/>
        <v>121</v>
      </c>
      <c r="B138" s="62">
        <f t="shared" si="13"/>
        <v>121</v>
      </c>
      <c r="C138" s="62" t="s">
        <v>94</v>
      </c>
      <c r="D138" s="62" t="s">
        <v>402</v>
      </c>
      <c r="E138" s="123" t="s">
        <v>120</v>
      </c>
      <c r="F138" s="123"/>
      <c r="G138" s="123" t="s">
        <v>99</v>
      </c>
      <c r="H138" s="123" t="s">
        <v>98</v>
      </c>
      <c r="I138" s="123" t="s">
        <v>101</v>
      </c>
      <c r="J138" s="64">
        <v>1010.3</v>
      </c>
      <c r="K138" s="64">
        <v>556.1</v>
      </c>
      <c r="L138" s="64">
        <v>0</v>
      </c>
      <c r="M138" s="124">
        <v>60</v>
      </c>
      <c r="N138" s="95">
        <f t="shared" si="18"/>
        <v>124408.54</v>
      </c>
      <c r="O138" s="64">
        <v>0</v>
      </c>
      <c r="P138" s="64"/>
      <c r="Q138" s="64"/>
      <c r="R138" s="64">
        <f>+'[12]Приложение № 4'!E132</f>
        <v>124408.54</v>
      </c>
      <c r="S138" s="64"/>
      <c r="T138" s="64"/>
      <c r="U138" s="64">
        <f t="shared" si="15"/>
        <v>223.71613019241141</v>
      </c>
      <c r="V138" s="64">
        <f t="shared" si="15"/>
        <v>223.71613019241141</v>
      </c>
      <c r="W138" s="163" t="s">
        <v>495</v>
      </c>
      <c r="X138" s="156" t="e">
        <f>+N138-#REF!</f>
        <v>#REF!</v>
      </c>
      <c r="Y138" s="153">
        <v>207033.64</v>
      </c>
      <c r="Z138" s="153">
        <f>+(K138*9.1+L138*18.19)*12</f>
        <v>60726.12</v>
      </c>
      <c r="AB138" s="156" t="e">
        <f>+N138-#REF!</f>
        <v>#REF!</v>
      </c>
      <c r="AC138" s="164">
        <f>+N138-'[12]Приложение № 4'!E132</f>
        <v>0</v>
      </c>
      <c r="AE138" s="165" t="e">
        <f>+N138-#REF!</f>
        <v>#REF!</v>
      </c>
      <c r="AG138" s="3" t="s">
        <v>402</v>
      </c>
      <c r="AH138" s="4">
        <f t="shared" si="19"/>
        <v>129330.57048885871</v>
      </c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>
        <v>87679.435650458705</v>
      </c>
      <c r="AV138" s="4">
        <v>41651.134838400001</v>
      </c>
      <c r="AW138" s="4"/>
      <c r="AZ138" s="156">
        <f>+N138-'Приложение №4'!E133</f>
        <v>0</v>
      </c>
    </row>
    <row r="139" spans="1:52" ht="15" x14ac:dyDescent="0.25">
      <c r="A139" s="122">
        <f t="shared" si="12"/>
        <v>122</v>
      </c>
      <c r="B139" s="62">
        <f t="shared" si="13"/>
        <v>122</v>
      </c>
      <c r="C139" s="62" t="s">
        <v>94</v>
      </c>
      <c r="D139" s="62" t="s">
        <v>612</v>
      </c>
      <c r="E139" s="123">
        <v>1978</v>
      </c>
      <c r="F139" s="123"/>
      <c r="G139" s="123" t="s">
        <v>47</v>
      </c>
      <c r="H139" s="123" t="s">
        <v>105</v>
      </c>
      <c r="I139" s="123" t="s">
        <v>105</v>
      </c>
      <c r="J139" s="64">
        <v>3964.8</v>
      </c>
      <c r="K139" s="64">
        <v>3460.4</v>
      </c>
      <c r="L139" s="64">
        <v>0</v>
      </c>
      <c r="M139" s="124">
        <v>76</v>
      </c>
      <c r="N139" s="95">
        <f t="shared" si="18"/>
        <v>18944.419999999998</v>
      </c>
      <c r="O139" s="64"/>
      <c r="P139" s="64"/>
      <c r="Q139" s="64"/>
      <c r="R139" s="64">
        <v>18944.419999999998</v>
      </c>
      <c r="S139" s="64"/>
      <c r="T139" s="64"/>
      <c r="U139" s="64">
        <f t="shared" si="15"/>
        <v>5.4746329904057331</v>
      </c>
      <c r="V139" s="64">
        <f t="shared" si="15"/>
        <v>5.4746329904057331</v>
      </c>
      <c r="W139" s="163" t="s">
        <v>495</v>
      </c>
      <c r="X139" s="156"/>
      <c r="AB139" s="156"/>
      <c r="AC139" s="164"/>
      <c r="AE139" s="165"/>
      <c r="AG139" s="3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Z139" s="156">
        <f>+N139-'Приложение №4'!E134</f>
        <v>0</v>
      </c>
    </row>
    <row r="140" spans="1:52" ht="15" x14ac:dyDescent="0.25">
      <c r="A140" s="122">
        <f t="shared" si="12"/>
        <v>123</v>
      </c>
      <c r="B140" s="62">
        <f t="shared" si="13"/>
        <v>123</v>
      </c>
      <c r="C140" s="62" t="s">
        <v>94</v>
      </c>
      <c r="D140" s="62" t="s">
        <v>222</v>
      </c>
      <c r="E140" s="123" t="s">
        <v>133</v>
      </c>
      <c r="F140" s="123"/>
      <c r="G140" s="123" t="s">
        <v>99</v>
      </c>
      <c r="H140" s="123" t="s">
        <v>108</v>
      </c>
      <c r="I140" s="123" t="s">
        <v>105</v>
      </c>
      <c r="J140" s="64">
        <v>4793.1000000000004</v>
      </c>
      <c r="K140" s="64">
        <v>4227.7</v>
      </c>
      <c r="L140" s="64">
        <v>0</v>
      </c>
      <c r="M140" s="124">
        <v>193</v>
      </c>
      <c r="N140" s="95">
        <f t="shared" si="18"/>
        <v>253995.31</v>
      </c>
      <c r="O140" s="64">
        <v>0</v>
      </c>
      <c r="P140" s="64"/>
      <c r="Q140" s="64"/>
      <c r="R140" s="64">
        <f>+'[12]Приложение № 4'!E133</f>
        <v>253995.31</v>
      </c>
      <c r="S140" s="64"/>
      <c r="T140" s="64"/>
      <c r="U140" s="64">
        <f t="shared" si="15"/>
        <v>60.07883955815219</v>
      </c>
      <c r="V140" s="64">
        <f t="shared" si="15"/>
        <v>60.07883955815219</v>
      </c>
      <c r="W140" s="163" t="s">
        <v>495</v>
      </c>
      <c r="X140" s="156" t="e">
        <f>+N140-#REF!</f>
        <v>#REF!</v>
      </c>
      <c r="Y140" s="153">
        <v>1598386.44</v>
      </c>
      <c r="Z140" s="153">
        <f t="shared" ref="Z140:Z152" si="20">+(K140*9.1+L140*18.19)*12</f>
        <v>461664.83999999997</v>
      </c>
      <c r="AB140" s="156" t="e">
        <f>+N140-#REF!</f>
        <v>#REF!</v>
      </c>
      <c r="AC140" s="164">
        <f>+N140-'[12]Приложение № 4'!E133</f>
        <v>0</v>
      </c>
      <c r="AE140" s="165" t="e">
        <f>+N140-#REF!</f>
        <v>#REF!</v>
      </c>
      <c r="AG140" s="3" t="s">
        <v>222</v>
      </c>
      <c r="AH140" s="4">
        <f t="shared" ref="AH140:AH213" si="21">SUM(AI140:AW140)</f>
        <v>257671.33981440004</v>
      </c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>
        <v>233671.33981440004</v>
      </c>
      <c r="AV140" s="4">
        <v>24000</v>
      </c>
      <c r="AW140" s="4"/>
      <c r="AZ140" s="156">
        <f>+N140-'Приложение №4'!E135</f>
        <v>0</v>
      </c>
    </row>
    <row r="141" spans="1:52" ht="15" x14ac:dyDescent="0.25">
      <c r="A141" s="122">
        <f t="shared" si="12"/>
        <v>124</v>
      </c>
      <c r="B141" s="62">
        <f t="shared" si="13"/>
        <v>124</v>
      </c>
      <c r="C141" s="62" t="s">
        <v>94</v>
      </c>
      <c r="D141" s="62" t="s">
        <v>223</v>
      </c>
      <c r="E141" s="123" t="s">
        <v>504</v>
      </c>
      <c r="F141" s="123"/>
      <c r="G141" s="123" t="s">
        <v>96</v>
      </c>
      <c r="H141" s="123" t="s">
        <v>101</v>
      </c>
      <c r="I141" s="123" t="s">
        <v>105</v>
      </c>
      <c r="J141" s="64">
        <v>2475.3000000000002</v>
      </c>
      <c r="K141" s="64">
        <v>2305.3000000000002</v>
      </c>
      <c r="L141" s="64">
        <v>0</v>
      </c>
      <c r="M141" s="124">
        <v>67</v>
      </c>
      <c r="N141" s="95">
        <f t="shared" si="18"/>
        <v>278945.83999999997</v>
      </c>
      <c r="O141" s="64">
        <v>0</v>
      </c>
      <c r="P141" s="64"/>
      <c r="Q141" s="64"/>
      <c r="R141" s="64">
        <f>+'[12]Приложение № 4'!E134</f>
        <v>278945.83999999997</v>
      </c>
      <c r="S141" s="64"/>
      <c r="T141" s="64"/>
      <c r="U141" s="64">
        <f t="shared" si="15"/>
        <v>121.00196937491864</v>
      </c>
      <c r="V141" s="64">
        <f t="shared" si="15"/>
        <v>121.00196937491864</v>
      </c>
      <c r="W141" s="163" t="s">
        <v>495</v>
      </c>
      <c r="X141" s="156" t="e">
        <f>+N141-#REF!</f>
        <v>#REF!</v>
      </c>
      <c r="Y141" s="153">
        <v>940432.91</v>
      </c>
      <c r="Z141" s="153">
        <f t="shared" si="20"/>
        <v>251738.76</v>
      </c>
      <c r="AB141" s="156" t="e">
        <f>+N141-#REF!</f>
        <v>#REF!</v>
      </c>
      <c r="AC141" s="164">
        <f>+N141-'[12]Приложение № 4'!E134</f>
        <v>0</v>
      </c>
      <c r="AE141" s="165" t="e">
        <f>+N141-#REF!</f>
        <v>#REF!</v>
      </c>
      <c r="AG141" s="3" t="s">
        <v>223</v>
      </c>
      <c r="AH141" s="4">
        <f t="shared" si="21"/>
        <v>488461.96841352008</v>
      </c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>
        <v>444405.03651432006</v>
      </c>
      <c r="AV141" s="4">
        <v>44056.931899200004</v>
      </c>
      <c r="AW141" s="4"/>
      <c r="AZ141" s="156">
        <f>+N141-'Приложение №4'!E136</f>
        <v>0</v>
      </c>
    </row>
    <row r="142" spans="1:52" ht="15" x14ac:dyDescent="0.25">
      <c r="A142" s="122">
        <f t="shared" si="12"/>
        <v>125</v>
      </c>
      <c r="B142" s="62">
        <f t="shared" si="13"/>
        <v>125</v>
      </c>
      <c r="C142" s="62" t="s">
        <v>94</v>
      </c>
      <c r="D142" s="62" t="s">
        <v>224</v>
      </c>
      <c r="E142" s="123" t="s">
        <v>501</v>
      </c>
      <c r="F142" s="123"/>
      <c r="G142" s="123" t="s">
        <v>96</v>
      </c>
      <c r="H142" s="123" t="s">
        <v>108</v>
      </c>
      <c r="I142" s="123" t="s">
        <v>130</v>
      </c>
      <c r="J142" s="64">
        <v>5522.53</v>
      </c>
      <c r="K142" s="64">
        <v>5226.03</v>
      </c>
      <c r="L142" s="64">
        <v>0</v>
      </c>
      <c r="M142" s="124">
        <v>210</v>
      </c>
      <c r="N142" s="95">
        <f t="shared" si="18"/>
        <v>452137.96</v>
      </c>
      <c r="O142" s="64">
        <v>0</v>
      </c>
      <c r="P142" s="64"/>
      <c r="Q142" s="64"/>
      <c r="R142" s="64">
        <f>+'Приложение №4'!E137</f>
        <v>452137.96</v>
      </c>
      <c r="S142" s="64"/>
      <c r="T142" s="64"/>
      <c r="U142" s="64">
        <f t="shared" si="15"/>
        <v>86.516525928859963</v>
      </c>
      <c r="V142" s="64">
        <f t="shared" si="15"/>
        <v>86.516525928859963</v>
      </c>
      <c r="W142" s="163" t="s">
        <v>495</v>
      </c>
      <c r="X142" s="156" t="e">
        <f>+N142-#REF!</f>
        <v>#REF!</v>
      </c>
      <c r="Y142" s="153">
        <v>2629325.5099999998</v>
      </c>
      <c r="Z142" s="153">
        <f t="shared" si="20"/>
        <v>570682.47599999991</v>
      </c>
      <c r="AB142" s="156" t="e">
        <f>+N142-#REF!</f>
        <v>#REF!</v>
      </c>
      <c r="AC142" s="164">
        <f>+N142-'[12]Приложение № 4'!E135</f>
        <v>24000</v>
      </c>
      <c r="AE142" s="165" t="e">
        <f>+N142-#REF!</f>
        <v>#REF!</v>
      </c>
      <c r="AG142" s="3" t="s">
        <v>224</v>
      </c>
      <c r="AH142" s="4">
        <f t="shared" si="21"/>
        <v>736031.94226167211</v>
      </c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>
        <v>687674.05543287215</v>
      </c>
      <c r="AV142" s="4">
        <v>48357.886828799994</v>
      </c>
      <c r="AW142" s="4"/>
      <c r="AZ142" s="156">
        <f>+N142-'Приложение №4'!E137</f>
        <v>0</v>
      </c>
    </row>
    <row r="143" spans="1:52" ht="15" x14ac:dyDescent="0.25">
      <c r="A143" s="122">
        <f t="shared" si="12"/>
        <v>126</v>
      </c>
      <c r="B143" s="62">
        <f t="shared" si="13"/>
        <v>126</v>
      </c>
      <c r="C143" s="62" t="s">
        <v>94</v>
      </c>
      <c r="D143" s="62" t="s">
        <v>225</v>
      </c>
      <c r="E143" s="123" t="s">
        <v>133</v>
      </c>
      <c r="F143" s="123"/>
      <c r="G143" s="123" t="s">
        <v>96</v>
      </c>
      <c r="H143" s="123" t="s">
        <v>108</v>
      </c>
      <c r="I143" s="123" t="s">
        <v>101</v>
      </c>
      <c r="J143" s="64">
        <v>1900.32</v>
      </c>
      <c r="K143" s="64">
        <v>1698.12</v>
      </c>
      <c r="L143" s="64">
        <v>0</v>
      </c>
      <c r="M143" s="124">
        <v>63</v>
      </c>
      <c r="N143" s="95">
        <f t="shared" si="18"/>
        <v>218514.1</v>
      </c>
      <c r="O143" s="64">
        <v>0</v>
      </c>
      <c r="P143" s="64"/>
      <c r="Q143" s="64"/>
      <c r="R143" s="64">
        <f>+'[12]Приложение № 4'!E136</f>
        <v>218514.1</v>
      </c>
      <c r="S143" s="64"/>
      <c r="T143" s="64"/>
      <c r="U143" s="64">
        <f t="shared" si="15"/>
        <v>128.68001083551223</v>
      </c>
      <c r="V143" s="64">
        <f t="shared" si="15"/>
        <v>128.68001083551223</v>
      </c>
      <c r="W143" s="163" t="s">
        <v>495</v>
      </c>
      <c r="X143" s="156" t="e">
        <f>+N143-#REF!</f>
        <v>#REF!</v>
      </c>
      <c r="Y143" s="153">
        <v>840201.67</v>
      </c>
      <c r="Z143" s="153">
        <f t="shared" si="20"/>
        <v>185434.70399999997</v>
      </c>
      <c r="AB143" s="156" t="e">
        <f>+N143-#REF!</f>
        <v>#REF!</v>
      </c>
      <c r="AC143" s="164">
        <f>+N143-'[12]Приложение № 4'!E136</f>
        <v>0</v>
      </c>
      <c r="AE143" s="165" t="e">
        <f>+N143-#REF!</f>
        <v>#REF!</v>
      </c>
      <c r="AG143" s="3" t="s">
        <v>225</v>
      </c>
      <c r="AH143" s="4">
        <f t="shared" si="21"/>
        <v>235599.758592</v>
      </c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>
        <v>211599.758592</v>
      </c>
      <c r="AV143" s="4">
        <v>24000</v>
      </c>
      <c r="AW143" s="4"/>
      <c r="AZ143" s="156">
        <f>+N143-'Приложение №4'!E138</f>
        <v>0</v>
      </c>
    </row>
    <row r="144" spans="1:52" ht="15" x14ac:dyDescent="0.25">
      <c r="A144" s="122">
        <f t="shared" si="12"/>
        <v>127</v>
      </c>
      <c r="B144" s="62">
        <f t="shared" si="13"/>
        <v>127</v>
      </c>
      <c r="C144" s="62" t="s">
        <v>94</v>
      </c>
      <c r="D144" s="62" t="s">
        <v>226</v>
      </c>
      <c r="E144" s="123" t="s">
        <v>507</v>
      </c>
      <c r="F144" s="123"/>
      <c r="G144" s="123" t="s">
        <v>96</v>
      </c>
      <c r="H144" s="123" t="s">
        <v>101</v>
      </c>
      <c r="I144" s="123" t="s">
        <v>101</v>
      </c>
      <c r="J144" s="64">
        <v>1780.9</v>
      </c>
      <c r="K144" s="64">
        <v>1626.2</v>
      </c>
      <c r="L144" s="64">
        <v>0</v>
      </c>
      <c r="M144" s="124">
        <v>35</v>
      </c>
      <c r="N144" s="95">
        <f t="shared" si="18"/>
        <v>960875.90000000014</v>
      </c>
      <c r="O144" s="64">
        <v>0</v>
      </c>
      <c r="P144" s="64"/>
      <c r="Q144" s="64"/>
      <c r="R144" s="64">
        <f>+'[12]Приложение № 4'!E137</f>
        <v>960875.90000000014</v>
      </c>
      <c r="S144" s="64"/>
      <c r="T144" s="64"/>
      <c r="U144" s="64">
        <f t="shared" si="15"/>
        <v>590.87190997417304</v>
      </c>
      <c r="V144" s="64">
        <f t="shared" si="15"/>
        <v>590.87190997417304</v>
      </c>
      <c r="W144" s="163" t="s">
        <v>495</v>
      </c>
      <c r="X144" s="156" t="e">
        <f>+N144-#REF!</f>
        <v>#REF!</v>
      </c>
      <c r="Y144" s="153">
        <v>719661.19</v>
      </c>
      <c r="Z144" s="153">
        <f t="shared" si="20"/>
        <v>177581.04</v>
      </c>
      <c r="AB144" s="156" t="e">
        <f>+N144-#REF!</f>
        <v>#REF!</v>
      </c>
      <c r="AC144" s="164">
        <f>+N144-'[12]Приложение № 4'!E137</f>
        <v>0</v>
      </c>
      <c r="AE144" s="165" t="e">
        <f>+N144-#REF!</f>
        <v>#REF!</v>
      </c>
      <c r="AG144" s="3" t="s">
        <v>226</v>
      </c>
      <c r="AH144" s="4">
        <f t="shared" si="21"/>
        <v>1155452.4011761721</v>
      </c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>
        <v>1112883.919148972</v>
      </c>
      <c r="AV144" s="4">
        <v>42568.4820272</v>
      </c>
      <c r="AW144" s="4"/>
      <c r="AZ144" s="156">
        <f>+N144-'Приложение №4'!E139</f>
        <v>0</v>
      </c>
    </row>
    <row r="145" spans="1:52" ht="15" x14ac:dyDescent="0.25">
      <c r="A145" s="122">
        <f t="shared" si="12"/>
        <v>128</v>
      </c>
      <c r="B145" s="62">
        <f t="shared" si="13"/>
        <v>128</v>
      </c>
      <c r="C145" s="62" t="s">
        <v>94</v>
      </c>
      <c r="D145" s="62" t="s">
        <v>227</v>
      </c>
      <c r="E145" s="123" t="s">
        <v>504</v>
      </c>
      <c r="F145" s="123"/>
      <c r="G145" s="123" t="s">
        <v>96</v>
      </c>
      <c r="H145" s="123" t="s">
        <v>105</v>
      </c>
      <c r="I145" s="123" t="s">
        <v>105</v>
      </c>
      <c r="J145" s="64">
        <v>3669.7</v>
      </c>
      <c r="K145" s="64">
        <v>3319.8</v>
      </c>
      <c r="L145" s="64">
        <v>0</v>
      </c>
      <c r="M145" s="124">
        <v>80</v>
      </c>
      <c r="N145" s="95">
        <f t="shared" si="18"/>
        <v>1217591.97</v>
      </c>
      <c r="O145" s="64">
        <v>0</v>
      </c>
      <c r="P145" s="64"/>
      <c r="Q145" s="64"/>
      <c r="R145" s="64">
        <f>+'[12]Приложение № 4'!E138</f>
        <v>1217591.97</v>
      </c>
      <c r="S145" s="64"/>
      <c r="T145" s="64"/>
      <c r="U145" s="64">
        <f t="shared" si="15"/>
        <v>366.76666365443697</v>
      </c>
      <c r="V145" s="64">
        <f t="shared" si="15"/>
        <v>366.76666365443697</v>
      </c>
      <c r="W145" s="163" t="s">
        <v>495</v>
      </c>
      <c r="X145" s="156" t="e">
        <f>+N145-#REF!</f>
        <v>#REF!</v>
      </c>
      <c r="Y145" s="153">
        <v>1641154.91</v>
      </c>
      <c r="Z145" s="153">
        <f t="shared" si="20"/>
        <v>362522.16000000003</v>
      </c>
      <c r="AB145" s="156" t="e">
        <f>+N145-#REF!</f>
        <v>#REF!</v>
      </c>
      <c r="AC145" s="164">
        <f>+N145-'[12]Приложение № 4'!E138</f>
        <v>0</v>
      </c>
      <c r="AE145" s="165" t="e">
        <f>+N145-#REF!</f>
        <v>#REF!</v>
      </c>
      <c r="AG145" s="3" t="s">
        <v>227</v>
      </c>
      <c r="AH145" s="4">
        <f t="shared" si="21"/>
        <v>1461780.2868848629</v>
      </c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>
        <v>1415921.2146008629</v>
      </c>
      <c r="AV145" s="4">
        <v>45859.072284000002</v>
      </c>
      <c r="AW145" s="4"/>
      <c r="AZ145" s="156">
        <f>+N145-'Приложение №4'!E140</f>
        <v>0</v>
      </c>
    </row>
    <row r="146" spans="1:52" ht="15" x14ac:dyDescent="0.25">
      <c r="A146" s="122">
        <f t="shared" si="12"/>
        <v>129</v>
      </c>
      <c r="B146" s="62">
        <f t="shared" si="13"/>
        <v>129</v>
      </c>
      <c r="C146" s="62" t="s">
        <v>94</v>
      </c>
      <c r="D146" s="62" t="s">
        <v>228</v>
      </c>
      <c r="E146" s="123" t="s">
        <v>508</v>
      </c>
      <c r="F146" s="123"/>
      <c r="G146" s="123" t="s">
        <v>96</v>
      </c>
      <c r="H146" s="123" t="s">
        <v>101</v>
      </c>
      <c r="I146" s="123" t="s">
        <v>98</v>
      </c>
      <c r="J146" s="64">
        <v>1026.9000000000001</v>
      </c>
      <c r="K146" s="64">
        <v>892.5</v>
      </c>
      <c r="L146" s="64">
        <v>0</v>
      </c>
      <c r="M146" s="124">
        <v>25</v>
      </c>
      <c r="N146" s="95">
        <f t="shared" si="18"/>
        <v>967772.2200000002</v>
      </c>
      <c r="O146" s="64">
        <v>0</v>
      </c>
      <c r="P146" s="64"/>
      <c r="Q146" s="64"/>
      <c r="R146" s="64">
        <f>+'[12]Приложение № 4'!E139</f>
        <v>967772.2200000002</v>
      </c>
      <c r="S146" s="64"/>
      <c r="T146" s="64"/>
      <c r="U146" s="64">
        <f t="shared" si="15"/>
        <v>1084.3386218487396</v>
      </c>
      <c r="V146" s="64">
        <f t="shared" si="15"/>
        <v>1084.3386218487396</v>
      </c>
      <c r="W146" s="163" t="s">
        <v>495</v>
      </c>
      <c r="X146" s="156" t="e">
        <f>+N146-#REF!</f>
        <v>#REF!</v>
      </c>
      <c r="Y146" s="153">
        <v>449051.69</v>
      </c>
      <c r="Z146" s="153">
        <f t="shared" si="20"/>
        <v>97461</v>
      </c>
      <c r="AB146" s="156" t="e">
        <f>+N146-#REF!</f>
        <v>#REF!</v>
      </c>
      <c r="AC146" s="164">
        <f>+N146-'[12]Приложение № 4'!E139</f>
        <v>0</v>
      </c>
      <c r="AE146" s="165" t="e">
        <f>+N146-#REF!</f>
        <v>#REF!</v>
      </c>
      <c r="AG146" s="3" t="s">
        <v>228</v>
      </c>
      <c r="AH146" s="4">
        <f t="shared" si="21"/>
        <v>1142151.1611197295</v>
      </c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>
        <v>1100584.5628845296</v>
      </c>
      <c r="AV146" s="4">
        <v>41566.598235199999</v>
      </c>
      <c r="AW146" s="4"/>
      <c r="AZ146" s="156">
        <f>+N146-'Приложение №4'!E141</f>
        <v>0</v>
      </c>
    </row>
    <row r="147" spans="1:52" ht="15" x14ac:dyDescent="0.25">
      <c r="A147" s="122">
        <f t="shared" si="12"/>
        <v>130</v>
      </c>
      <c r="B147" s="62">
        <f t="shared" si="13"/>
        <v>130</v>
      </c>
      <c r="C147" s="62" t="s">
        <v>94</v>
      </c>
      <c r="D147" s="62" t="s">
        <v>229</v>
      </c>
      <c r="E147" s="123" t="s">
        <v>503</v>
      </c>
      <c r="F147" s="123"/>
      <c r="G147" s="123" t="s">
        <v>96</v>
      </c>
      <c r="H147" s="123" t="s">
        <v>105</v>
      </c>
      <c r="I147" s="123" t="s">
        <v>101</v>
      </c>
      <c r="J147" s="64">
        <v>1578.9</v>
      </c>
      <c r="K147" s="64">
        <v>1438.4</v>
      </c>
      <c r="L147" s="64">
        <v>0</v>
      </c>
      <c r="M147" s="124">
        <v>64</v>
      </c>
      <c r="N147" s="95">
        <f t="shared" si="18"/>
        <v>1355397.4700000002</v>
      </c>
      <c r="O147" s="64">
        <v>0</v>
      </c>
      <c r="P147" s="64"/>
      <c r="Q147" s="64"/>
      <c r="R147" s="64">
        <f>+'[12]Приложение № 4'!E140</f>
        <v>1355397.4700000002</v>
      </c>
      <c r="S147" s="64"/>
      <c r="T147" s="64"/>
      <c r="U147" s="64">
        <f t="shared" si="15"/>
        <v>942.2952377641825</v>
      </c>
      <c r="V147" s="64">
        <f t="shared" si="15"/>
        <v>942.2952377641825</v>
      </c>
      <c r="W147" s="163" t="s">
        <v>495</v>
      </c>
      <c r="X147" s="156" t="e">
        <f>+N147-#REF!</f>
        <v>#REF!</v>
      </c>
      <c r="Y147" s="153">
        <v>958093.02</v>
      </c>
      <c r="Z147" s="153">
        <f t="shared" si="20"/>
        <v>157073.28</v>
      </c>
      <c r="AB147" s="156" t="e">
        <f>+N147-#REF!</f>
        <v>#REF!</v>
      </c>
      <c r="AC147" s="164">
        <f>+N147-'[12]Приложение № 4'!E140</f>
        <v>0</v>
      </c>
      <c r="AE147" s="165" t="e">
        <f>+N147-#REF!</f>
        <v>#REF!</v>
      </c>
      <c r="AG147" s="3" t="s">
        <v>229</v>
      </c>
      <c r="AH147" s="4">
        <f t="shared" si="21"/>
        <v>1374325.5893615938</v>
      </c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>
        <v>1332256.7817767938</v>
      </c>
      <c r="AV147" s="4">
        <v>42068.807584800001</v>
      </c>
      <c r="AW147" s="4"/>
      <c r="AZ147" s="156">
        <f>+N147-'Приложение №4'!E142</f>
        <v>0</v>
      </c>
    </row>
    <row r="148" spans="1:52" ht="15" x14ac:dyDescent="0.25">
      <c r="A148" s="122">
        <f t="shared" ref="A148:A211" si="22">+A147+1</f>
        <v>131</v>
      </c>
      <c r="B148" s="62">
        <f t="shared" ref="B148:B211" si="23">+B147+1</f>
        <v>131</v>
      </c>
      <c r="C148" s="62" t="s">
        <v>94</v>
      </c>
      <c r="D148" s="62" t="s">
        <v>230</v>
      </c>
      <c r="E148" s="123" t="s">
        <v>508</v>
      </c>
      <c r="F148" s="123"/>
      <c r="G148" s="123" t="s">
        <v>96</v>
      </c>
      <c r="H148" s="123" t="s">
        <v>105</v>
      </c>
      <c r="I148" s="123" t="s">
        <v>101</v>
      </c>
      <c r="J148" s="64">
        <v>1913.5</v>
      </c>
      <c r="K148" s="64">
        <v>1720</v>
      </c>
      <c r="L148" s="64">
        <v>0</v>
      </c>
      <c r="M148" s="124">
        <v>74</v>
      </c>
      <c r="N148" s="95">
        <f t="shared" si="18"/>
        <v>158258.59</v>
      </c>
      <c r="O148" s="64">
        <v>0</v>
      </c>
      <c r="P148" s="64"/>
      <c r="Q148" s="64"/>
      <c r="R148" s="64">
        <f>+'[12]Приложение № 4'!E141</f>
        <v>158258.59</v>
      </c>
      <c r="S148" s="64"/>
      <c r="T148" s="64"/>
      <c r="U148" s="64">
        <f t="shared" si="15"/>
        <v>92.010808139534888</v>
      </c>
      <c r="V148" s="64">
        <f t="shared" si="15"/>
        <v>92.010808139534888</v>
      </c>
      <c r="W148" s="163" t="s">
        <v>495</v>
      </c>
      <c r="X148" s="156" t="e">
        <f>+N148-#REF!</f>
        <v>#REF!</v>
      </c>
      <c r="Y148" s="153">
        <v>337981.63</v>
      </c>
      <c r="Z148" s="153">
        <f t="shared" si="20"/>
        <v>187824</v>
      </c>
      <c r="AB148" s="156" t="e">
        <f>+N148-#REF!</f>
        <v>#REF!</v>
      </c>
      <c r="AC148" s="164">
        <f>+N148-'[12]Приложение № 4'!E141</f>
        <v>0</v>
      </c>
      <c r="AE148" s="165" t="e">
        <f>+N148-#REF!</f>
        <v>#REF!</v>
      </c>
      <c r="AG148" s="3" t="s">
        <v>230</v>
      </c>
      <c r="AH148" s="4">
        <f t="shared" si="21"/>
        <v>851726.98183086386</v>
      </c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>
        <v>827726.98183086386</v>
      </c>
      <c r="AV148" s="4">
        <v>24000</v>
      </c>
      <c r="AW148" s="4"/>
      <c r="AZ148" s="156">
        <f>+N148-'Приложение №4'!E143</f>
        <v>0</v>
      </c>
    </row>
    <row r="149" spans="1:52" ht="15" x14ac:dyDescent="0.25">
      <c r="A149" s="122">
        <f t="shared" si="22"/>
        <v>132</v>
      </c>
      <c r="B149" s="62">
        <f t="shared" si="23"/>
        <v>132</v>
      </c>
      <c r="C149" s="62" t="s">
        <v>94</v>
      </c>
      <c r="D149" s="62" t="s">
        <v>231</v>
      </c>
      <c r="E149" s="123" t="s">
        <v>503</v>
      </c>
      <c r="F149" s="123"/>
      <c r="G149" s="123" t="s">
        <v>96</v>
      </c>
      <c r="H149" s="123" t="s">
        <v>108</v>
      </c>
      <c r="I149" s="123" t="s">
        <v>105</v>
      </c>
      <c r="J149" s="64">
        <v>2744.29</v>
      </c>
      <c r="K149" s="64">
        <v>2487.9899999999998</v>
      </c>
      <c r="L149" s="64">
        <v>0</v>
      </c>
      <c r="M149" s="124">
        <v>136</v>
      </c>
      <c r="N149" s="95">
        <f t="shared" si="18"/>
        <v>375445.14</v>
      </c>
      <c r="O149" s="64">
        <v>0</v>
      </c>
      <c r="P149" s="64"/>
      <c r="Q149" s="64"/>
      <c r="R149" s="64">
        <f>+'[12]Приложение № 4'!E142</f>
        <v>375445.14</v>
      </c>
      <c r="S149" s="64"/>
      <c r="T149" s="64"/>
      <c r="U149" s="64">
        <f t="shared" si="15"/>
        <v>150.9029939830948</v>
      </c>
      <c r="V149" s="64">
        <f t="shared" si="15"/>
        <v>150.9029939830948</v>
      </c>
      <c r="W149" s="163" t="s">
        <v>495</v>
      </c>
      <c r="X149" s="156" t="e">
        <f>+N149-#REF!</f>
        <v>#REF!</v>
      </c>
      <c r="Y149" s="153">
        <v>1517463.12</v>
      </c>
      <c r="Z149" s="153">
        <f t="shared" si="20"/>
        <v>271688.50799999997</v>
      </c>
      <c r="AB149" s="156" t="e">
        <f>+N149-#REF!</f>
        <v>#REF!</v>
      </c>
      <c r="AC149" s="164">
        <f>+N149-'[12]Приложение № 4'!E142</f>
        <v>0</v>
      </c>
      <c r="AE149" s="165" t="e">
        <f>+N149-#REF!</f>
        <v>#REF!</v>
      </c>
      <c r="AG149" s="3" t="s">
        <v>231</v>
      </c>
      <c r="AH149" s="4">
        <f t="shared" si="21"/>
        <v>646414.18358029891</v>
      </c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>
        <v>602887.84688749886</v>
      </c>
      <c r="AV149" s="4">
        <v>43526.336692800003</v>
      </c>
      <c r="AW149" s="4"/>
      <c r="AZ149" s="156">
        <f>+N149-'Приложение №4'!E144</f>
        <v>0</v>
      </c>
    </row>
    <row r="150" spans="1:52" ht="15" x14ac:dyDescent="0.25">
      <c r="A150" s="122">
        <f t="shared" si="22"/>
        <v>133</v>
      </c>
      <c r="B150" s="62">
        <f t="shared" si="23"/>
        <v>133</v>
      </c>
      <c r="C150" s="62" t="s">
        <v>94</v>
      </c>
      <c r="D150" s="62" t="s">
        <v>232</v>
      </c>
      <c r="E150" s="123" t="s">
        <v>509</v>
      </c>
      <c r="F150" s="123"/>
      <c r="G150" s="123" t="s">
        <v>96</v>
      </c>
      <c r="H150" s="123" t="s">
        <v>105</v>
      </c>
      <c r="I150" s="123" t="s">
        <v>98</v>
      </c>
      <c r="J150" s="64">
        <v>1948.5</v>
      </c>
      <c r="K150" s="64">
        <v>1747.8</v>
      </c>
      <c r="L150" s="64">
        <v>0</v>
      </c>
      <c r="M150" s="124">
        <v>38</v>
      </c>
      <c r="N150" s="95">
        <f t="shared" si="18"/>
        <v>486303.72</v>
      </c>
      <c r="O150" s="64">
        <v>0</v>
      </c>
      <c r="P150" s="64"/>
      <c r="Q150" s="64"/>
      <c r="R150" s="64">
        <f>+'[12]Приложение № 4'!E143</f>
        <v>486303.72</v>
      </c>
      <c r="S150" s="64"/>
      <c r="T150" s="64"/>
      <c r="U150" s="64">
        <f t="shared" si="15"/>
        <v>278.23762444215583</v>
      </c>
      <c r="V150" s="64">
        <f t="shared" si="15"/>
        <v>278.23762444215583</v>
      </c>
      <c r="W150" s="163" t="s">
        <v>495</v>
      </c>
      <c r="X150" s="156" t="e">
        <f>+N150-#REF!</f>
        <v>#REF!</v>
      </c>
      <c r="Y150" s="153">
        <v>792370.87</v>
      </c>
      <c r="Z150" s="153">
        <f t="shared" si="20"/>
        <v>190859.76</v>
      </c>
      <c r="AB150" s="156" t="e">
        <f>+N150-#REF!</f>
        <v>#REF!</v>
      </c>
      <c r="AC150" s="164">
        <f>+N150-'[12]Приложение № 4'!E143</f>
        <v>0</v>
      </c>
      <c r="AE150" s="165" t="e">
        <f>+N150-#REF!</f>
        <v>#REF!</v>
      </c>
      <c r="AG150" s="3" t="s">
        <v>232</v>
      </c>
      <c r="AH150" s="4">
        <f t="shared" si="21"/>
        <v>689802.58585035719</v>
      </c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>
        <v>647739.49456635723</v>
      </c>
      <c r="AV150" s="4">
        <v>42063.091284000002</v>
      </c>
      <c r="AW150" s="4"/>
      <c r="AZ150" s="156">
        <f>+N150-'Приложение №4'!E145</f>
        <v>0</v>
      </c>
    </row>
    <row r="151" spans="1:52" ht="15" x14ac:dyDescent="0.25">
      <c r="A151" s="122">
        <f t="shared" si="22"/>
        <v>134</v>
      </c>
      <c r="B151" s="62">
        <f t="shared" si="23"/>
        <v>134</v>
      </c>
      <c r="C151" s="62" t="s">
        <v>94</v>
      </c>
      <c r="D151" s="62" t="s">
        <v>233</v>
      </c>
      <c r="E151" s="123" t="s">
        <v>131</v>
      </c>
      <c r="F151" s="123"/>
      <c r="G151" s="123" t="s">
        <v>96</v>
      </c>
      <c r="H151" s="123" t="s">
        <v>105</v>
      </c>
      <c r="I151" s="123" t="s">
        <v>101</v>
      </c>
      <c r="J151" s="64">
        <v>2212.3000000000002</v>
      </c>
      <c r="K151" s="64">
        <v>2004.7</v>
      </c>
      <c r="L151" s="64">
        <v>0</v>
      </c>
      <c r="M151" s="124">
        <v>49</v>
      </c>
      <c r="N151" s="95">
        <f t="shared" si="18"/>
        <v>522136.27999999997</v>
      </c>
      <c r="O151" s="64">
        <v>0</v>
      </c>
      <c r="P151" s="64"/>
      <c r="Q151" s="64"/>
      <c r="R151" s="64">
        <f>+'[12]Приложение № 4'!E144</f>
        <v>522136.27999999997</v>
      </c>
      <c r="S151" s="64"/>
      <c r="T151" s="64"/>
      <c r="U151" s="64">
        <f t="shared" si="15"/>
        <v>260.45606823963681</v>
      </c>
      <c r="V151" s="64">
        <f t="shared" si="15"/>
        <v>260.45606823963681</v>
      </c>
      <c r="W151" s="163" t="s">
        <v>495</v>
      </c>
      <c r="X151" s="156" t="e">
        <f>+N151-#REF!</f>
        <v>#REF!</v>
      </c>
      <c r="Y151" s="153">
        <v>957751.83</v>
      </c>
      <c r="Z151" s="153">
        <f t="shared" si="20"/>
        <v>218913.24</v>
      </c>
      <c r="AB151" s="156" t="e">
        <f>+N151-#REF!</f>
        <v>#REF!</v>
      </c>
      <c r="AC151" s="164">
        <f>+N151-'[12]Приложение № 4'!E144</f>
        <v>0</v>
      </c>
      <c r="AE151" s="165" t="e">
        <f>+N151-#REF!</f>
        <v>#REF!</v>
      </c>
      <c r="AG151" s="3" t="s">
        <v>233</v>
      </c>
      <c r="AH151" s="4">
        <f t="shared" si="21"/>
        <v>738025.90261846327</v>
      </c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>
        <v>695284.17924886325</v>
      </c>
      <c r="AV151" s="4">
        <v>42741.723369599997</v>
      </c>
      <c r="AW151" s="4"/>
      <c r="AZ151" s="156">
        <f>+N151-'Приложение №4'!E146</f>
        <v>0</v>
      </c>
    </row>
    <row r="152" spans="1:52" ht="15" x14ac:dyDescent="0.25">
      <c r="A152" s="122">
        <f t="shared" si="22"/>
        <v>135</v>
      </c>
      <c r="B152" s="62">
        <f t="shared" si="23"/>
        <v>135</v>
      </c>
      <c r="C152" s="62" t="s">
        <v>94</v>
      </c>
      <c r="D152" s="62" t="s">
        <v>234</v>
      </c>
      <c r="E152" s="123" t="s">
        <v>504</v>
      </c>
      <c r="F152" s="123"/>
      <c r="G152" s="123" t="s">
        <v>96</v>
      </c>
      <c r="H152" s="123" t="s">
        <v>105</v>
      </c>
      <c r="I152" s="123" t="s">
        <v>105</v>
      </c>
      <c r="J152" s="64">
        <v>2667.1</v>
      </c>
      <c r="K152" s="64">
        <v>1967.6</v>
      </c>
      <c r="L152" s="64">
        <v>0</v>
      </c>
      <c r="M152" s="124">
        <v>96</v>
      </c>
      <c r="N152" s="95">
        <f t="shared" si="18"/>
        <v>1162265.5899999999</v>
      </c>
      <c r="O152" s="64">
        <v>0</v>
      </c>
      <c r="P152" s="64"/>
      <c r="Q152" s="64"/>
      <c r="R152" s="64">
        <f>+'[12]Приложение № 4'!E145</f>
        <v>1162265.5899999999</v>
      </c>
      <c r="S152" s="64"/>
      <c r="T152" s="64"/>
      <c r="U152" s="64">
        <f t="shared" si="15"/>
        <v>590.70217015653589</v>
      </c>
      <c r="V152" s="64">
        <f t="shared" si="15"/>
        <v>590.70217015653589</v>
      </c>
      <c r="W152" s="163" t="s">
        <v>495</v>
      </c>
      <c r="X152" s="156" t="e">
        <f>+N152-#REF!</f>
        <v>#REF!</v>
      </c>
      <c r="Y152" s="153">
        <v>754329.79</v>
      </c>
      <c r="Z152" s="153">
        <f t="shared" si="20"/>
        <v>214861.91999999998</v>
      </c>
      <c r="AB152" s="156" t="e">
        <f>+N152-#REF!</f>
        <v>#REF!</v>
      </c>
      <c r="AC152" s="164">
        <f>+N152-'[12]Приложение № 4'!E145</f>
        <v>0</v>
      </c>
      <c r="AE152" s="165" t="e">
        <f>+N152-#REF!</f>
        <v>#REF!</v>
      </c>
      <c r="AG152" s="3" t="s">
        <v>234</v>
      </c>
      <c r="AH152" s="4">
        <f t="shared" si="21"/>
        <v>614225.07945600001</v>
      </c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>
        <v>590225.07945600001</v>
      </c>
      <c r="AV152" s="4">
        <v>24000</v>
      </c>
      <c r="AW152" s="4"/>
      <c r="AZ152" s="156">
        <f>+N152-'Приложение №4'!E147</f>
        <v>0</v>
      </c>
    </row>
    <row r="153" spans="1:52" ht="15" x14ac:dyDescent="0.25">
      <c r="A153" s="122">
        <f t="shared" si="22"/>
        <v>136</v>
      </c>
      <c r="B153" s="62">
        <f t="shared" si="23"/>
        <v>136</v>
      </c>
      <c r="C153" s="62" t="s">
        <v>94</v>
      </c>
      <c r="D153" s="62" t="s">
        <v>387</v>
      </c>
      <c r="E153" s="123" t="s">
        <v>114</v>
      </c>
      <c r="F153" s="123"/>
      <c r="G153" s="123" t="s">
        <v>96</v>
      </c>
      <c r="H153" s="123" t="s">
        <v>108</v>
      </c>
      <c r="I153" s="123" t="s">
        <v>102</v>
      </c>
      <c r="J153" s="64">
        <v>4136.47</v>
      </c>
      <c r="K153" s="64">
        <v>3308.76</v>
      </c>
      <c r="L153" s="64">
        <v>0</v>
      </c>
      <c r="M153" s="124">
        <v>305</v>
      </c>
      <c r="N153" s="95">
        <f t="shared" si="18"/>
        <v>1514631.2099999997</v>
      </c>
      <c r="O153" s="64">
        <v>0</v>
      </c>
      <c r="P153" s="64"/>
      <c r="Q153" s="64"/>
      <c r="R153" s="64">
        <f>+'[12]Приложение № 4'!E146</f>
        <v>1514631.2099999997</v>
      </c>
      <c r="S153" s="64"/>
      <c r="T153" s="64"/>
      <c r="U153" s="64">
        <f t="shared" si="15"/>
        <v>457.76399920211793</v>
      </c>
      <c r="V153" s="64">
        <f t="shared" si="15"/>
        <v>457.76399920211793</v>
      </c>
      <c r="W153" s="163" t="s">
        <v>495</v>
      </c>
      <c r="X153" s="156" t="e">
        <f>+N153-#REF!</f>
        <v>#REF!</v>
      </c>
      <c r="Y153" s="153">
        <v>908546.5</v>
      </c>
      <c r="Z153" s="153">
        <f>+(K153*9.1+L153*18.19)*12</f>
        <v>361316.592</v>
      </c>
      <c r="AB153" s="156" t="e">
        <f>+N153-#REF!</f>
        <v>#REF!</v>
      </c>
      <c r="AC153" s="164">
        <f>+N153-'[12]Приложение № 4'!E146</f>
        <v>0</v>
      </c>
      <c r="AE153" s="165" t="e">
        <f>+N153-#REF!</f>
        <v>#REF!</v>
      </c>
      <c r="AG153" s="3" t="s">
        <v>387</v>
      </c>
      <c r="AH153" s="4">
        <f t="shared" ref="AH153:AH166" si="24">SUM(AI153:AW153)</f>
        <v>1522367.4592237328</v>
      </c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>
        <v>1477451.4949102928</v>
      </c>
      <c r="AV153" s="4">
        <v>44915.964313439996</v>
      </c>
      <c r="AW153" s="4"/>
      <c r="AZ153" s="156">
        <f>+N153-'Приложение №4'!E148</f>
        <v>0</v>
      </c>
    </row>
    <row r="154" spans="1:52" ht="15" x14ac:dyDescent="0.25">
      <c r="A154" s="122">
        <f t="shared" si="22"/>
        <v>137</v>
      </c>
      <c r="B154" s="62">
        <f t="shared" si="23"/>
        <v>137</v>
      </c>
      <c r="C154" s="62" t="s">
        <v>94</v>
      </c>
      <c r="D154" s="62" t="s">
        <v>388</v>
      </c>
      <c r="E154" s="123" t="s">
        <v>524</v>
      </c>
      <c r="F154" s="123"/>
      <c r="G154" s="123" t="s">
        <v>96</v>
      </c>
      <c r="H154" s="123" t="s">
        <v>105</v>
      </c>
      <c r="I154" s="123" t="s">
        <v>98</v>
      </c>
      <c r="J154" s="64">
        <v>1673.85</v>
      </c>
      <c r="K154" s="64">
        <v>1473.85</v>
      </c>
      <c r="L154" s="64">
        <v>0</v>
      </c>
      <c r="M154" s="124">
        <v>37</v>
      </c>
      <c r="N154" s="95">
        <f t="shared" si="18"/>
        <v>576659.44999999995</v>
      </c>
      <c r="O154" s="64">
        <v>0</v>
      </c>
      <c r="P154" s="64"/>
      <c r="Q154" s="64"/>
      <c r="R154" s="64">
        <f>+'[12]Приложение № 4'!E147</f>
        <v>576659.44999999995</v>
      </c>
      <c r="S154" s="64"/>
      <c r="T154" s="64"/>
      <c r="U154" s="64">
        <f t="shared" si="15"/>
        <v>391.26060996709299</v>
      </c>
      <c r="V154" s="64">
        <f t="shared" si="15"/>
        <v>391.26060996709299</v>
      </c>
      <c r="W154" s="163" t="s">
        <v>495</v>
      </c>
      <c r="X154" s="156" t="e">
        <f>+N154-#REF!</f>
        <v>#REF!</v>
      </c>
      <c r="Y154" s="153">
        <v>852870.49</v>
      </c>
      <c r="Z154" s="153">
        <f>+(K154*9.1+L154*18.19)*12</f>
        <v>160944.41999999998</v>
      </c>
      <c r="AB154" s="156" t="e">
        <f>+N154-#REF!</f>
        <v>#REF!</v>
      </c>
      <c r="AC154" s="164">
        <f>+N154-'[12]Приложение № 4'!E147</f>
        <v>0</v>
      </c>
      <c r="AE154" s="165" t="e">
        <f>+N154-#REF!</f>
        <v>#REF!</v>
      </c>
      <c r="AG154" s="3" t="s">
        <v>388</v>
      </c>
      <c r="AH154" s="4">
        <f t="shared" si="24"/>
        <v>748584.25409020542</v>
      </c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>
        <v>706682.21958124544</v>
      </c>
      <c r="AV154" s="4">
        <v>41902.034508960001</v>
      </c>
      <c r="AW154" s="4"/>
      <c r="AZ154" s="156">
        <f>+N154-'Приложение №4'!E149</f>
        <v>0</v>
      </c>
    </row>
    <row r="155" spans="1:52" ht="15" x14ac:dyDescent="0.25">
      <c r="A155" s="122">
        <f t="shared" si="22"/>
        <v>138</v>
      </c>
      <c r="B155" s="62">
        <f t="shared" si="23"/>
        <v>138</v>
      </c>
      <c r="C155" s="62" t="s">
        <v>94</v>
      </c>
      <c r="D155" s="62" t="s">
        <v>545</v>
      </c>
      <c r="E155" s="123">
        <v>1975</v>
      </c>
      <c r="F155" s="123">
        <v>2009</v>
      </c>
      <c r="G155" s="123" t="s">
        <v>43</v>
      </c>
      <c r="H155" s="123">
        <v>5</v>
      </c>
      <c r="I155" s="123">
        <v>6</v>
      </c>
      <c r="J155" s="64">
        <v>4366.5</v>
      </c>
      <c r="K155" s="64">
        <v>4045</v>
      </c>
      <c r="L155" s="64">
        <v>0</v>
      </c>
      <c r="M155" s="124">
        <v>185</v>
      </c>
      <c r="N155" s="95">
        <f t="shared" si="18"/>
        <v>48000</v>
      </c>
      <c r="O155" s="64"/>
      <c r="P155" s="64"/>
      <c r="Q155" s="64"/>
      <c r="R155" s="64">
        <f>+'[12]Приложение № 4'!E148</f>
        <v>48000</v>
      </c>
      <c r="S155" s="64"/>
      <c r="T155" s="64"/>
      <c r="U155" s="64">
        <f t="shared" si="15"/>
        <v>11.866501854140914</v>
      </c>
      <c r="V155" s="64">
        <f t="shared" si="15"/>
        <v>11.866501854140914</v>
      </c>
      <c r="W155" s="163" t="s">
        <v>495</v>
      </c>
      <c r="AC155" s="164">
        <f>+N155-'[12]Приложение № 4'!E148</f>
        <v>0</v>
      </c>
      <c r="AG155" s="166" t="s">
        <v>545</v>
      </c>
      <c r="AH155" s="4">
        <f t="shared" ref="AH155:AH165" si="25">SUM(AI155:AW155)</f>
        <v>113524.54300000001</v>
      </c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8">
        <v>113524.54300000001</v>
      </c>
      <c r="AW155" s="168"/>
      <c r="AZ155" s="156">
        <f>+N155-'Приложение №4'!E150</f>
        <v>0</v>
      </c>
    </row>
    <row r="156" spans="1:52" ht="15" x14ac:dyDescent="0.25">
      <c r="A156" s="122">
        <f t="shared" si="22"/>
        <v>139</v>
      </c>
      <c r="B156" s="62">
        <f t="shared" si="23"/>
        <v>139</v>
      </c>
      <c r="C156" s="62" t="s">
        <v>94</v>
      </c>
      <c r="D156" s="62" t="s">
        <v>546</v>
      </c>
      <c r="E156" s="123">
        <v>1979</v>
      </c>
      <c r="F156" s="123">
        <v>2013</v>
      </c>
      <c r="G156" s="123" t="s">
        <v>43</v>
      </c>
      <c r="H156" s="123">
        <v>4</v>
      </c>
      <c r="I156" s="123">
        <v>3</v>
      </c>
      <c r="J156" s="64">
        <v>1175.2</v>
      </c>
      <c r="K156" s="64">
        <v>845.9</v>
      </c>
      <c r="L156" s="64">
        <v>0</v>
      </c>
      <c r="M156" s="124">
        <v>33</v>
      </c>
      <c r="N156" s="95">
        <f t="shared" si="18"/>
        <v>24000</v>
      </c>
      <c r="O156" s="64"/>
      <c r="P156" s="64"/>
      <c r="Q156" s="64"/>
      <c r="R156" s="64">
        <f>+'[12]Приложение № 4'!E149</f>
        <v>24000</v>
      </c>
      <c r="S156" s="64"/>
      <c r="T156" s="64"/>
      <c r="U156" s="64">
        <f t="shared" si="15"/>
        <v>28.372148008038778</v>
      </c>
      <c r="V156" s="64">
        <f t="shared" si="15"/>
        <v>28.372148008038778</v>
      </c>
      <c r="W156" s="163" t="s">
        <v>495</v>
      </c>
      <c r="AC156" s="164">
        <f>+N156-'[12]Приложение № 4'!E149</f>
        <v>0</v>
      </c>
      <c r="AG156" s="166" t="s">
        <v>546</v>
      </c>
      <c r="AH156" s="4">
        <f t="shared" si="25"/>
        <v>92162.666100000002</v>
      </c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8">
        <v>92162.666100000002</v>
      </c>
      <c r="AW156" s="168"/>
      <c r="AZ156" s="156">
        <f>+N156-'Приложение №4'!E151</f>
        <v>0</v>
      </c>
    </row>
    <row r="157" spans="1:52" ht="15" x14ac:dyDescent="0.25">
      <c r="A157" s="122">
        <f t="shared" si="22"/>
        <v>140</v>
      </c>
      <c r="B157" s="62">
        <f t="shared" si="23"/>
        <v>140</v>
      </c>
      <c r="C157" s="62" t="s">
        <v>94</v>
      </c>
      <c r="D157" s="62" t="s">
        <v>594</v>
      </c>
      <c r="E157" s="123">
        <v>1995</v>
      </c>
      <c r="F157" s="123"/>
      <c r="G157" s="123" t="s">
        <v>43</v>
      </c>
      <c r="H157" s="123" t="s">
        <v>108</v>
      </c>
      <c r="I157" s="123" t="s">
        <v>98</v>
      </c>
      <c r="J157" s="64">
        <v>2090</v>
      </c>
      <c r="K157" s="64">
        <v>1894.8</v>
      </c>
      <c r="L157" s="64">
        <v>0</v>
      </c>
      <c r="M157" s="124">
        <v>98</v>
      </c>
      <c r="N157" s="95">
        <f t="shared" si="18"/>
        <v>19820.849999999999</v>
      </c>
      <c r="O157" s="64"/>
      <c r="P157" s="64"/>
      <c r="Q157" s="64"/>
      <c r="R157" s="64">
        <f>+'Приложение №4'!E152</f>
        <v>19820.849999999999</v>
      </c>
      <c r="S157" s="64"/>
      <c r="T157" s="64"/>
      <c r="U157" s="64">
        <f t="shared" si="15"/>
        <v>10.460655478150727</v>
      </c>
      <c r="V157" s="64">
        <f t="shared" si="15"/>
        <v>10.460655478150727</v>
      </c>
      <c r="W157" s="163" t="s">
        <v>495</v>
      </c>
      <c r="AC157" s="164"/>
      <c r="AG157" s="166"/>
      <c r="AH157" s="4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8"/>
      <c r="AW157" s="168"/>
      <c r="AZ157" s="156">
        <f>+N157-'Приложение №4'!E152</f>
        <v>0</v>
      </c>
    </row>
    <row r="158" spans="1:52" ht="15" x14ac:dyDescent="0.25">
      <c r="A158" s="122">
        <f t="shared" si="22"/>
        <v>141</v>
      </c>
      <c r="B158" s="62">
        <f t="shared" si="23"/>
        <v>141</v>
      </c>
      <c r="C158" s="62" t="s">
        <v>94</v>
      </c>
      <c r="D158" s="78" t="s">
        <v>1163</v>
      </c>
      <c r="E158" s="123">
        <v>1975</v>
      </c>
      <c r="F158" s="123">
        <v>2013</v>
      </c>
      <c r="G158" s="123" t="s">
        <v>47</v>
      </c>
      <c r="H158" s="123">
        <v>4</v>
      </c>
      <c r="I158" s="123">
        <v>4</v>
      </c>
      <c r="J158" s="64">
        <v>3899.5</v>
      </c>
      <c r="K158" s="64">
        <v>3416.4</v>
      </c>
      <c r="L158" s="64">
        <v>0</v>
      </c>
      <c r="M158" s="124">
        <v>110</v>
      </c>
      <c r="N158" s="95">
        <f t="shared" si="18"/>
        <v>24000</v>
      </c>
      <c r="O158" s="64"/>
      <c r="P158" s="64"/>
      <c r="Q158" s="64"/>
      <c r="R158" s="64">
        <f>+'Приложение №4'!E153</f>
        <v>24000</v>
      </c>
      <c r="S158" s="64"/>
      <c r="T158" s="64"/>
      <c r="U158" s="64">
        <f t="shared" si="15"/>
        <v>7.0249385317878463</v>
      </c>
      <c r="V158" s="64">
        <f t="shared" si="15"/>
        <v>7.0249385317878463</v>
      </c>
      <c r="W158" s="163" t="s">
        <v>495</v>
      </c>
      <c r="AC158" s="164">
        <f>+N158-'[12]Приложение № 4'!E150</f>
        <v>0</v>
      </c>
      <c r="AG158" s="166" t="s">
        <v>1163</v>
      </c>
      <c r="AH158" s="4">
        <f t="shared" si="25"/>
        <v>192230.92030000003</v>
      </c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8">
        <v>192230.92030000003</v>
      </c>
      <c r="AW158" s="168"/>
      <c r="AZ158" s="156">
        <f>+N158-'Приложение №4'!E153</f>
        <v>0</v>
      </c>
    </row>
    <row r="159" spans="1:52" ht="15" x14ac:dyDescent="0.25">
      <c r="A159" s="122">
        <f t="shared" si="22"/>
        <v>142</v>
      </c>
      <c r="B159" s="62">
        <f t="shared" si="23"/>
        <v>142</v>
      </c>
      <c r="C159" s="169" t="s">
        <v>94</v>
      </c>
      <c r="D159" s="62" t="s">
        <v>1164</v>
      </c>
      <c r="E159" s="123">
        <v>1983</v>
      </c>
      <c r="F159" s="123"/>
      <c r="G159" s="123" t="s">
        <v>43</v>
      </c>
      <c r="H159" s="123" t="s">
        <v>108</v>
      </c>
      <c r="I159" s="123" t="s">
        <v>105</v>
      </c>
      <c r="J159" s="64">
        <v>4956.1000000000004</v>
      </c>
      <c r="K159" s="64">
        <v>4373.3</v>
      </c>
      <c r="L159" s="64">
        <v>0</v>
      </c>
      <c r="M159" s="124">
        <v>116</v>
      </c>
      <c r="N159" s="95">
        <f t="shared" si="18"/>
        <v>18624.53</v>
      </c>
      <c r="O159" s="64"/>
      <c r="P159" s="64"/>
      <c r="Q159" s="64"/>
      <c r="R159" s="64">
        <f>+'Приложение №4'!E154</f>
        <v>18624.53</v>
      </c>
      <c r="S159" s="64"/>
      <c r="T159" s="64"/>
      <c r="U159" s="64">
        <f t="shared" si="15"/>
        <v>4.2586902339194657</v>
      </c>
      <c r="V159" s="64">
        <f t="shared" si="15"/>
        <v>4.2586902339194657</v>
      </c>
      <c r="W159" s="163" t="s">
        <v>495</v>
      </c>
      <c r="AC159" s="164"/>
      <c r="AG159" s="166"/>
      <c r="AH159" s="4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8"/>
      <c r="AW159" s="168"/>
      <c r="AZ159" s="156">
        <f>+N159-'Приложение №4'!E154</f>
        <v>0</v>
      </c>
    </row>
    <row r="160" spans="1:52" ht="15" x14ac:dyDescent="0.25">
      <c r="A160" s="122">
        <f t="shared" si="22"/>
        <v>143</v>
      </c>
      <c r="B160" s="62">
        <f t="shared" si="23"/>
        <v>143</v>
      </c>
      <c r="C160" s="62" t="s">
        <v>94</v>
      </c>
      <c r="D160" s="170" t="s">
        <v>595</v>
      </c>
      <c r="E160" s="123">
        <v>1985</v>
      </c>
      <c r="F160" s="123"/>
      <c r="G160" s="123" t="s">
        <v>43</v>
      </c>
      <c r="H160" s="123" t="s">
        <v>100</v>
      </c>
      <c r="I160" s="123" t="s">
        <v>102</v>
      </c>
      <c r="J160" s="64">
        <v>2431.1</v>
      </c>
      <c r="K160" s="64">
        <v>1807.4</v>
      </c>
      <c r="L160" s="64">
        <v>623.70000000000005</v>
      </c>
      <c r="M160" s="124">
        <v>30</v>
      </c>
      <c r="N160" s="95">
        <f t="shared" si="18"/>
        <v>19133.82</v>
      </c>
      <c r="O160" s="64"/>
      <c r="P160" s="64"/>
      <c r="Q160" s="64"/>
      <c r="R160" s="64">
        <f>+'Приложение №4'!E155</f>
        <v>19133.82</v>
      </c>
      <c r="S160" s="64"/>
      <c r="T160" s="64"/>
      <c r="U160" s="64">
        <f t="shared" si="15"/>
        <v>7.8704372506272868</v>
      </c>
      <c r="V160" s="64">
        <f t="shared" si="15"/>
        <v>7.8704372506272868</v>
      </c>
      <c r="W160" s="163" t="s">
        <v>495</v>
      </c>
      <c r="AC160" s="164"/>
      <c r="AG160" s="166"/>
      <c r="AH160" s="4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8"/>
      <c r="AW160" s="168"/>
      <c r="AZ160" s="156">
        <f>+N160-'Приложение №4'!E155</f>
        <v>0</v>
      </c>
    </row>
    <row r="161" spans="1:52" ht="15" x14ac:dyDescent="0.25">
      <c r="A161" s="122">
        <f t="shared" si="22"/>
        <v>144</v>
      </c>
      <c r="B161" s="62">
        <f t="shared" si="23"/>
        <v>144</v>
      </c>
      <c r="C161" s="62" t="s">
        <v>94</v>
      </c>
      <c r="D161" s="102" t="s">
        <v>1165</v>
      </c>
      <c r="E161" s="123">
        <v>1977</v>
      </c>
      <c r="F161" s="123">
        <v>2008</v>
      </c>
      <c r="G161" s="123" t="s">
        <v>47</v>
      </c>
      <c r="H161" s="123">
        <v>4</v>
      </c>
      <c r="I161" s="123">
        <v>4</v>
      </c>
      <c r="J161" s="64">
        <v>3933.9</v>
      </c>
      <c r="K161" s="64">
        <v>3431.9</v>
      </c>
      <c r="L161" s="64">
        <v>0</v>
      </c>
      <c r="M161" s="124">
        <v>160</v>
      </c>
      <c r="N161" s="95">
        <f t="shared" si="18"/>
        <v>24000</v>
      </c>
      <c r="O161" s="64"/>
      <c r="P161" s="64"/>
      <c r="Q161" s="64"/>
      <c r="R161" s="64">
        <f>+'Приложение №4'!E156</f>
        <v>24000</v>
      </c>
      <c r="S161" s="64"/>
      <c r="T161" s="64"/>
      <c r="U161" s="64">
        <f t="shared" si="15"/>
        <v>6.9932107578892158</v>
      </c>
      <c r="V161" s="64">
        <f t="shared" si="15"/>
        <v>6.9932107578892158</v>
      </c>
      <c r="W161" s="163" t="s">
        <v>495</v>
      </c>
      <c r="AC161" s="164">
        <f>+N161-'[12]Приложение № 4'!E151</f>
        <v>0</v>
      </c>
      <c r="AG161" s="166" t="s">
        <v>1165</v>
      </c>
      <c r="AH161" s="4">
        <f t="shared" si="25"/>
        <v>121152.24740000001</v>
      </c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8">
        <v>121152.24740000001</v>
      </c>
      <c r="AW161" s="168"/>
      <c r="AZ161" s="156">
        <f>+N161-'Приложение №4'!E156</f>
        <v>0</v>
      </c>
    </row>
    <row r="162" spans="1:52" ht="15" x14ac:dyDescent="0.25">
      <c r="A162" s="122">
        <f t="shared" si="22"/>
        <v>145</v>
      </c>
      <c r="B162" s="62">
        <f t="shared" si="23"/>
        <v>145</v>
      </c>
      <c r="C162" s="62" t="s">
        <v>94</v>
      </c>
      <c r="D162" s="62" t="s">
        <v>1166</v>
      </c>
      <c r="E162" s="123">
        <v>1979</v>
      </c>
      <c r="F162" s="123">
        <v>2008</v>
      </c>
      <c r="G162" s="123" t="s">
        <v>47</v>
      </c>
      <c r="H162" s="123">
        <v>5</v>
      </c>
      <c r="I162" s="123">
        <v>4</v>
      </c>
      <c r="J162" s="64">
        <v>4904.7</v>
      </c>
      <c r="K162" s="64">
        <v>4322.5</v>
      </c>
      <c r="L162" s="64">
        <v>0</v>
      </c>
      <c r="M162" s="124">
        <v>181</v>
      </c>
      <c r="N162" s="95">
        <f t="shared" si="18"/>
        <v>24000</v>
      </c>
      <c r="O162" s="64"/>
      <c r="P162" s="64"/>
      <c r="Q162" s="64"/>
      <c r="R162" s="64">
        <f>+'Приложение №4'!E157</f>
        <v>24000</v>
      </c>
      <c r="S162" s="64"/>
      <c r="T162" s="64"/>
      <c r="U162" s="64">
        <f t="shared" ref="U162:V225" si="26">$N162/($K162+$L162)</f>
        <v>5.552342394447658</v>
      </c>
      <c r="V162" s="64">
        <f t="shared" si="26"/>
        <v>5.552342394447658</v>
      </c>
      <c r="W162" s="163" t="s">
        <v>495</v>
      </c>
      <c r="AC162" s="164">
        <f>+N162-'[12]Приложение № 4'!E152</f>
        <v>0</v>
      </c>
      <c r="AG162" s="166" t="s">
        <v>1166</v>
      </c>
      <c r="AH162" s="4">
        <f t="shared" si="25"/>
        <v>152592.0306</v>
      </c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8">
        <v>152592.0306</v>
      </c>
      <c r="AW162" s="168"/>
      <c r="AZ162" s="156">
        <f>+N162-'Приложение №4'!E157</f>
        <v>0</v>
      </c>
    </row>
    <row r="163" spans="1:52" ht="15" x14ac:dyDescent="0.25">
      <c r="A163" s="122">
        <f t="shared" si="22"/>
        <v>146</v>
      </c>
      <c r="B163" s="62">
        <f t="shared" si="23"/>
        <v>146</v>
      </c>
      <c r="C163" s="62" t="s">
        <v>94</v>
      </c>
      <c r="D163" s="62" t="s">
        <v>1167</v>
      </c>
      <c r="E163" s="123">
        <v>1977</v>
      </c>
      <c r="F163" s="123">
        <v>2008</v>
      </c>
      <c r="G163" s="123" t="s">
        <v>47</v>
      </c>
      <c r="H163" s="123">
        <v>5</v>
      </c>
      <c r="I163" s="123">
        <v>4</v>
      </c>
      <c r="J163" s="64">
        <v>3868.2</v>
      </c>
      <c r="K163" s="64">
        <v>3393</v>
      </c>
      <c r="L163" s="64">
        <v>0</v>
      </c>
      <c r="M163" s="124">
        <v>180</v>
      </c>
      <c r="N163" s="95">
        <f t="shared" si="18"/>
        <v>24000</v>
      </c>
      <c r="O163" s="64"/>
      <c r="P163" s="64"/>
      <c r="Q163" s="64"/>
      <c r="R163" s="64">
        <f>+'Приложение №4'!E158</f>
        <v>24000</v>
      </c>
      <c r="S163" s="64"/>
      <c r="T163" s="64"/>
      <c r="U163" s="64">
        <f t="shared" si="26"/>
        <v>7.0733863837312114</v>
      </c>
      <c r="V163" s="64">
        <f t="shared" si="26"/>
        <v>7.0733863837312114</v>
      </c>
      <c r="W163" s="163" t="s">
        <v>495</v>
      </c>
      <c r="AC163" s="164">
        <f>+N163-'[12]Приложение № 4'!E153</f>
        <v>0</v>
      </c>
      <c r="AG163" s="166" t="s">
        <v>1167</v>
      </c>
      <c r="AH163" s="4">
        <f t="shared" si="25"/>
        <v>119779.00739999999</v>
      </c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8">
        <v>119779.00739999999</v>
      </c>
      <c r="AW163" s="168"/>
      <c r="AZ163" s="156">
        <f>+N163-'Приложение №4'!E158</f>
        <v>0</v>
      </c>
    </row>
    <row r="164" spans="1:52" ht="15" x14ac:dyDescent="0.25">
      <c r="A164" s="122">
        <f t="shared" si="22"/>
        <v>147</v>
      </c>
      <c r="B164" s="62">
        <f t="shared" si="23"/>
        <v>147</v>
      </c>
      <c r="C164" s="62" t="s">
        <v>94</v>
      </c>
      <c r="D164" s="62" t="s">
        <v>1168</v>
      </c>
      <c r="E164" s="123">
        <v>1979</v>
      </c>
      <c r="F164" s="123">
        <v>2008</v>
      </c>
      <c r="G164" s="123" t="s">
        <v>47</v>
      </c>
      <c r="H164" s="123">
        <v>5</v>
      </c>
      <c r="I164" s="123">
        <v>4</v>
      </c>
      <c r="J164" s="64">
        <v>4069.3</v>
      </c>
      <c r="K164" s="64">
        <v>3493.4</v>
      </c>
      <c r="L164" s="64">
        <v>0</v>
      </c>
      <c r="M164" s="124">
        <v>172</v>
      </c>
      <c r="N164" s="95">
        <f t="shared" si="18"/>
        <v>24000</v>
      </c>
      <c r="O164" s="64"/>
      <c r="P164" s="64"/>
      <c r="Q164" s="64"/>
      <c r="R164" s="64">
        <f>+'Приложение №4'!E159</f>
        <v>24000</v>
      </c>
      <c r="S164" s="64"/>
      <c r="T164" s="64"/>
      <c r="U164" s="64">
        <f t="shared" si="26"/>
        <v>6.8700978988950592</v>
      </c>
      <c r="V164" s="64">
        <f t="shared" si="26"/>
        <v>6.8700978988950592</v>
      </c>
      <c r="W164" s="163" t="s">
        <v>495</v>
      </c>
      <c r="AC164" s="164">
        <f>+N164-'[12]Приложение № 4'!E154</f>
        <v>0</v>
      </c>
      <c r="AG164" s="166" t="s">
        <v>1168</v>
      </c>
      <c r="AH164" s="4">
        <f t="shared" si="25"/>
        <v>123323.30799999999</v>
      </c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8">
        <v>123323.30799999999</v>
      </c>
      <c r="AW164" s="168"/>
      <c r="AZ164" s="156">
        <f>+N164-'Приложение №4'!E159</f>
        <v>0</v>
      </c>
    </row>
    <row r="165" spans="1:52" ht="15" x14ac:dyDescent="0.25">
      <c r="A165" s="122">
        <f t="shared" si="22"/>
        <v>148</v>
      </c>
      <c r="B165" s="62">
        <f t="shared" si="23"/>
        <v>148</v>
      </c>
      <c r="C165" s="62" t="s">
        <v>94</v>
      </c>
      <c r="D165" s="62" t="s">
        <v>547</v>
      </c>
      <c r="E165" s="123">
        <v>1977</v>
      </c>
      <c r="F165" s="123">
        <v>2013</v>
      </c>
      <c r="G165" s="123" t="s">
        <v>47</v>
      </c>
      <c r="H165" s="123">
        <v>4</v>
      </c>
      <c r="I165" s="123">
        <v>4</v>
      </c>
      <c r="J165" s="64">
        <v>3916.4</v>
      </c>
      <c r="K165" s="64">
        <v>3438.3</v>
      </c>
      <c r="L165" s="64">
        <v>0</v>
      </c>
      <c r="M165" s="124">
        <v>163</v>
      </c>
      <c r="N165" s="95">
        <f t="shared" si="18"/>
        <v>24000</v>
      </c>
      <c r="O165" s="64"/>
      <c r="P165" s="64"/>
      <c r="Q165" s="64"/>
      <c r="R165" s="64">
        <f>+'Приложение №4'!E160</f>
        <v>24000</v>
      </c>
      <c r="S165" s="64"/>
      <c r="T165" s="64"/>
      <c r="U165" s="64">
        <f t="shared" si="26"/>
        <v>6.9801937003751853</v>
      </c>
      <c r="V165" s="64">
        <f t="shared" si="26"/>
        <v>6.9801937003751853</v>
      </c>
      <c r="W165" s="163" t="s">
        <v>495</v>
      </c>
      <c r="AC165" s="164">
        <f>+N165-'[12]Приложение № 4'!E155</f>
        <v>0</v>
      </c>
      <c r="AG165" s="166" t="s">
        <v>547</v>
      </c>
      <c r="AH165" s="4">
        <f t="shared" si="25"/>
        <v>626853.32070000004</v>
      </c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8">
        <v>626853.32070000004</v>
      </c>
      <c r="AW165" s="168"/>
      <c r="AZ165" s="156">
        <f>+N165-'Приложение №4'!E160</f>
        <v>0</v>
      </c>
    </row>
    <row r="166" spans="1:52" ht="15" x14ac:dyDescent="0.25">
      <c r="A166" s="122">
        <f t="shared" si="22"/>
        <v>149</v>
      </c>
      <c r="B166" s="62">
        <f t="shared" si="23"/>
        <v>149</v>
      </c>
      <c r="C166" s="62" t="s">
        <v>94</v>
      </c>
      <c r="D166" s="62" t="s">
        <v>389</v>
      </c>
      <c r="E166" s="123" t="s">
        <v>124</v>
      </c>
      <c r="F166" s="123"/>
      <c r="G166" s="123" t="s">
        <v>96</v>
      </c>
      <c r="H166" s="123" t="s">
        <v>98</v>
      </c>
      <c r="I166" s="123" t="s">
        <v>98</v>
      </c>
      <c r="J166" s="64">
        <v>777.8</v>
      </c>
      <c r="K166" s="64">
        <v>732</v>
      </c>
      <c r="L166" s="64">
        <v>0</v>
      </c>
      <c r="M166" s="124">
        <v>33</v>
      </c>
      <c r="N166" s="95">
        <f t="shared" si="18"/>
        <v>819121.35000000021</v>
      </c>
      <c r="O166" s="64">
        <v>0</v>
      </c>
      <c r="P166" s="64"/>
      <c r="Q166" s="64"/>
      <c r="R166" s="64">
        <f>+'Приложение №4'!E161</f>
        <v>819121.35000000021</v>
      </c>
      <c r="S166" s="64"/>
      <c r="T166" s="64"/>
      <c r="U166" s="64">
        <f t="shared" si="26"/>
        <v>1119.0182377049184</v>
      </c>
      <c r="V166" s="64">
        <f t="shared" si="26"/>
        <v>1119.0182377049184</v>
      </c>
      <c r="W166" s="163" t="s">
        <v>495</v>
      </c>
      <c r="X166" s="156" t="e">
        <f>+N166-#REF!</f>
        <v>#REF!</v>
      </c>
      <c r="Y166" s="153">
        <v>237927.52</v>
      </c>
      <c r="Z166" s="153">
        <f t="shared" ref="Z166:Z193" si="27">+(K166*9.1+L166*18.19)*12</f>
        <v>79934.399999999994</v>
      </c>
      <c r="AB166" s="156" t="e">
        <f>+N166-#REF!</f>
        <v>#REF!</v>
      </c>
      <c r="AC166" s="164">
        <f>+N166-'[12]Приложение № 4'!E156</f>
        <v>0</v>
      </c>
      <c r="AE166" s="165" t="e">
        <f>+N166-#REF!</f>
        <v>#REF!</v>
      </c>
      <c r="AG166" s="3" t="s">
        <v>389</v>
      </c>
      <c r="AH166" s="4">
        <f t="shared" si="24"/>
        <v>823247.98824867455</v>
      </c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>
        <v>782283.7281974745</v>
      </c>
      <c r="AV166" s="4">
        <v>40964.260051200006</v>
      </c>
      <c r="AW166" s="4"/>
      <c r="AZ166" s="156">
        <f>+N166-'Приложение №4'!E161</f>
        <v>0</v>
      </c>
    </row>
    <row r="167" spans="1:52" ht="15" x14ac:dyDescent="0.25">
      <c r="A167" s="122">
        <f t="shared" si="22"/>
        <v>150</v>
      </c>
      <c r="B167" s="62">
        <f t="shared" si="23"/>
        <v>150</v>
      </c>
      <c r="C167" s="62" t="s">
        <v>94</v>
      </c>
      <c r="D167" s="62" t="s">
        <v>390</v>
      </c>
      <c r="E167" s="123" t="s">
        <v>152</v>
      </c>
      <c r="F167" s="123"/>
      <c r="G167" s="123" t="s">
        <v>99</v>
      </c>
      <c r="H167" s="123" t="s">
        <v>105</v>
      </c>
      <c r="I167" s="123" t="s">
        <v>105</v>
      </c>
      <c r="J167" s="64">
        <v>3933.9</v>
      </c>
      <c r="K167" s="64">
        <v>3431.9</v>
      </c>
      <c r="L167" s="64">
        <v>0</v>
      </c>
      <c r="M167" s="124">
        <v>160</v>
      </c>
      <c r="N167" s="95">
        <f t="shared" si="18"/>
        <v>573364.16</v>
      </c>
      <c r="O167" s="64">
        <v>0</v>
      </c>
      <c r="P167" s="64"/>
      <c r="Q167" s="64"/>
      <c r="R167" s="64">
        <f>+'Приложение №4'!E162</f>
        <v>573364.16</v>
      </c>
      <c r="S167" s="64"/>
      <c r="T167" s="64"/>
      <c r="U167" s="64">
        <f t="shared" si="26"/>
        <v>167.06901716250474</v>
      </c>
      <c r="V167" s="64">
        <f t="shared" si="26"/>
        <v>167.06901716250474</v>
      </c>
      <c r="W167" s="163" t="s">
        <v>495</v>
      </c>
      <c r="X167" s="156" t="e">
        <f>+N167-#REF!</f>
        <v>#REF!</v>
      </c>
      <c r="Y167" s="153">
        <v>1303393.05</v>
      </c>
      <c r="Z167" s="153">
        <f t="shared" si="27"/>
        <v>374763.48</v>
      </c>
      <c r="AB167" s="156" t="e">
        <f>+N167-#REF!</f>
        <v>#REF!</v>
      </c>
      <c r="AC167" s="164">
        <f>+N167-'[12]Приложение № 4'!E157</f>
        <v>0</v>
      </c>
      <c r="AE167" s="165" t="e">
        <f>+N167-#REF!</f>
        <v>#REF!</v>
      </c>
      <c r="AG167" s="3" t="s">
        <v>390</v>
      </c>
      <c r="AH167" s="4">
        <f t="shared" ref="AH167:AH193" si="28">SUM(AI167:AW167)</f>
        <v>590325.90453772491</v>
      </c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>
        <v>544716.20587612491</v>
      </c>
      <c r="AV167" s="4">
        <v>45609.698661599999</v>
      </c>
      <c r="AW167" s="4"/>
      <c r="AZ167" s="156">
        <f>+N167-'Приложение №4'!E162</f>
        <v>0</v>
      </c>
    </row>
    <row r="168" spans="1:52" ht="15" x14ac:dyDescent="0.25">
      <c r="A168" s="122">
        <f t="shared" si="22"/>
        <v>151</v>
      </c>
      <c r="B168" s="62">
        <f t="shared" si="23"/>
        <v>151</v>
      </c>
      <c r="C168" s="62" t="s">
        <v>94</v>
      </c>
      <c r="D168" s="78" t="s">
        <v>391</v>
      </c>
      <c r="E168" s="123" t="s">
        <v>152</v>
      </c>
      <c r="F168" s="123"/>
      <c r="G168" s="123" t="s">
        <v>99</v>
      </c>
      <c r="H168" s="123" t="s">
        <v>105</v>
      </c>
      <c r="I168" s="123" t="s">
        <v>105</v>
      </c>
      <c r="J168" s="64">
        <v>3978.4</v>
      </c>
      <c r="K168" s="64">
        <v>3499.6</v>
      </c>
      <c r="L168" s="64">
        <v>0</v>
      </c>
      <c r="M168" s="124">
        <v>156</v>
      </c>
      <c r="N168" s="95">
        <f t="shared" si="18"/>
        <v>523999.34</v>
      </c>
      <c r="O168" s="64">
        <v>0</v>
      </c>
      <c r="P168" s="64"/>
      <c r="Q168" s="64"/>
      <c r="R168" s="64">
        <f>+'Приложение №4'!E163</f>
        <v>523999.34</v>
      </c>
      <c r="S168" s="64"/>
      <c r="T168" s="64"/>
      <c r="U168" s="64">
        <f t="shared" si="26"/>
        <v>149.7312092810607</v>
      </c>
      <c r="V168" s="64">
        <f t="shared" si="26"/>
        <v>149.7312092810607</v>
      </c>
      <c r="W168" s="163" t="s">
        <v>495</v>
      </c>
      <c r="X168" s="156" t="e">
        <f>+N168-#REF!</f>
        <v>#REF!</v>
      </c>
      <c r="Y168" s="153">
        <v>1220237.42</v>
      </c>
      <c r="Z168" s="153">
        <f t="shared" si="27"/>
        <v>382156.31999999995</v>
      </c>
      <c r="AB168" s="156" t="e">
        <f>+N168-#REF!</f>
        <v>#REF!</v>
      </c>
      <c r="AC168" s="164">
        <f>+N168-'[12]Приложение № 4'!E158</f>
        <v>0</v>
      </c>
      <c r="AE168" s="165" t="e">
        <f>+N168-#REF!</f>
        <v>#REF!</v>
      </c>
      <c r="AG168" s="3" t="s">
        <v>391</v>
      </c>
      <c r="AH168" s="4">
        <f t="shared" si="28"/>
        <v>540701.55923287338</v>
      </c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>
        <v>495012.36826327338</v>
      </c>
      <c r="AV168" s="4">
        <v>45689.190969599993</v>
      </c>
      <c r="AW168" s="4"/>
      <c r="AZ168" s="156">
        <f>+N168-'Приложение №4'!E163</f>
        <v>0</v>
      </c>
    </row>
    <row r="169" spans="1:52" ht="15" x14ac:dyDescent="0.25">
      <c r="A169" s="122">
        <f t="shared" si="22"/>
        <v>152</v>
      </c>
      <c r="B169" s="62">
        <f t="shared" si="23"/>
        <v>152</v>
      </c>
      <c r="C169" s="169" t="s">
        <v>94</v>
      </c>
      <c r="D169" s="18" t="s">
        <v>1169</v>
      </c>
      <c r="E169" s="171">
        <v>1982</v>
      </c>
      <c r="F169" s="123"/>
      <c r="G169" s="123" t="s">
        <v>47</v>
      </c>
      <c r="H169" s="123" t="s">
        <v>108</v>
      </c>
      <c r="I169" s="123" t="s">
        <v>105</v>
      </c>
      <c r="J169" s="64">
        <v>4900.7</v>
      </c>
      <c r="K169" s="64">
        <v>4313.7</v>
      </c>
      <c r="L169" s="64">
        <v>0</v>
      </c>
      <c r="M169" s="124">
        <v>216</v>
      </c>
      <c r="N169" s="95">
        <f t="shared" si="18"/>
        <v>17910.900000000001</v>
      </c>
      <c r="O169" s="64"/>
      <c r="P169" s="64"/>
      <c r="Q169" s="64"/>
      <c r="R169" s="64">
        <f>+'Приложение №4'!E164</f>
        <v>17910.900000000001</v>
      </c>
      <c r="S169" s="64"/>
      <c r="T169" s="64"/>
      <c r="U169" s="64">
        <f t="shared" si="26"/>
        <v>4.1520968078447744</v>
      </c>
      <c r="V169" s="64">
        <f t="shared" si="26"/>
        <v>4.1520968078447744</v>
      </c>
      <c r="W169" s="163" t="s">
        <v>495</v>
      </c>
      <c r="X169" s="156"/>
      <c r="AB169" s="156"/>
      <c r="AC169" s="164"/>
      <c r="AE169" s="165"/>
      <c r="AG169" s="3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Z169" s="156">
        <f>+N169-'Приложение №4'!E164</f>
        <v>0</v>
      </c>
    </row>
    <row r="170" spans="1:52" ht="15" x14ac:dyDescent="0.25">
      <c r="A170" s="122">
        <f t="shared" si="22"/>
        <v>153</v>
      </c>
      <c r="B170" s="62">
        <f t="shared" si="23"/>
        <v>153</v>
      </c>
      <c r="C170" s="169" t="s">
        <v>94</v>
      </c>
      <c r="D170" s="18" t="s">
        <v>1170</v>
      </c>
      <c r="E170" s="171">
        <v>1990</v>
      </c>
      <c r="F170" s="123"/>
      <c r="G170" s="123" t="s">
        <v>48</v>
      </c>
      <c r="H170" s="123" t="s">
        <v>98</v>
      </c>
      <c r="I170" s="123" t="s">
        <v>98</v>
      </c>
      <c r="J170" s="64">
        <v>1160.5999999999999</v>
      </c>
      <c r="K170" s="64">
        <v>983.6</v>
      </c>
      <c r="L170" s="64">
        <v>0</v>
      </c>
      <c r="M170" s="124">
        <v>39</v>
      </c>
      <c r="N170" s="95">
        <f t="shared" si="18"/>
        <v>19807.39</v>
      </c>
      <c r="O170" s="64"/>
      <c r="P170" s="64"/>
      <c r="Q170" s="64"/>
      <c r="R170" s="64">
        <f>+'Приложение №4'!E165</f>
        <v>19807.39</v>
      </c>
      <c r="S170" s="64"/>
      <c r="T170" s="64"/>
      <c r="U170" s="64">
        <f t="shared" si="26"/>
        <v>20.13764741764945</v>
      </c>
      <c r="V170" s="64">
        <f t="shared" si="26"/>
        <v>20.13764741764945</v>
      </c>
      <c r="W170" s="163" t="s">
        <v>495</v>
      </c>
      <c r="X170" s="156"/>
      <c r="AB170" s="156"/>
      <c r="AC170" s="164"/>
      <c r="AE170" s="165"/>
      <c r="AG170" s="3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Z170" s="156">
        <f>+N170-'Приложение №4'!E165</f>
        <v>0</v>
      </c>
    </row>
    <row r="171" spans="1:52" ht="15" x14ac:dyDescent="0.25">
      <c r="A171" s="122">
        <f t="shared" si="22"/>
        <v>154</v>
      </c>
      <c r="B171" s="62">
        <f t="shared" si="23"/>
        <v>154</v>
      </c>
      <c r="C171" s="169" t="s">
        <v>94</v>
      </c>
      <c r="D171" s="18" t="s">
        <v>1171</v>
      </c>
      <c r="E171" s="171">
        <v>1985</v>
      </c>
      <c r="F171" s="123"/>
      <c r="G171" s="123" t="s">
        <v>43</v>
      </c>
      <c r="H171" s="123">
        <v>9</v>
      </c>
      <c r="I171" s="123">
        <v>1</v>
      </c>
      <c r="J171" s="64">
        <v>1780.5</v>
      </c>
      <c r="K171" s="64">
        <v>1470.1</v>
      </c>
      <c r="L171" s="64">
        <v>50.2</v>
      </c>
      <c r="M171" s="124">
        <v>58</v>
      </c>
      <c r="N171" s="95">
        <f t="shared" si="18"/>
        <v>19527.990000000002</v>
      </c>
      <c r="O171" s="64"/>
      <c r="P171" s="64"/>
      <c r="Q171" s="64"/>
      <c r="R171" s="64">
        <f>+'Приложение №4'!E166</f>
        <v>19527.990000000002</v>
      </c>
      <c r="S171" s="64"/>
      <c r="T171" s="64"/>
      <c r="U171" s="64">
        <f t="shared" si="26"/>
        <v>12.844826678944946</v>
      </c>
      <c r="V171" s="64">
        <f t="shared" si="26"/>
        <v>12.844826678944946</v>
      </c>
      <c r="W171" s="163" t="s">
        <v>495</v>
      </c>
      <c r="X171" s="156"/>
      <c r="AB171" s="156"/>
      <c r="AC171" s="164"/>
      <c r="AE171" s="165"/>
      <c r="AG171" s="3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Z171" s="156">
        <f>+N171-'Приложение №4'!E166</f>
        <v>0</v>
      </c>
    </row>
    <row r="172" spans="1:52" ht="15" x14ac:dyDescent="0.25">
      <c r="A172" s="122">
        <f t="shared" si="22"/>
        <v>155</v>
      </c>
      <c r="B172" s="62">
        <f t="shared" si="23"/>
        <v>155</v>
      </c>
      <c r="C172" s="169" t="s">
        <v>94</v>
      </c>
      <c r="D172" s="18" t="s">
        <v>1172</v>
      </c>
      <c r="E172" s="171">
        <v>1983</v>
      </c>
      <c r="F172" s="123"/>
      <c r="G172" s="123" t="s">
        <v>47</v>
      </c>
      <c r="H172" s="123" t="s">
        <v>105</v>
      </c>
      <c r="I172" s="123" t="s">
        <v>109</v>
      </c>
      <c r="J172" s="64">
        <v>4078.3</v>
      </c>
      <c r="K172" s="64">
        <v>3605.9</v>
      </c>
      <c r="L172" s="64">
        <v>0</v>
      </c>
      <c r="M172" s="124">
        <v>152</v>
      </c>
      <c r="N172" s="95">
        <f t="shared" si="18"/>
        <v>17934.78</v>
      </c>
      <c r="O172" s="64"/>
      <c r="P172" s="64"/>
      <c r="Q172" s="64"/>
      <c r="R172" s="64">
        <f>+'Приложение №4'!E167</f>
        <v>17934.78</v>
      </c>
      <c r="S172" s="64"/>
      <c r="T172" s="64"/>
      <c r="U172" s="64">
        <f t="shared" si="26"/>
        <v>4.9737319393216666</v>
      </c>
      <c r="V172" s="64">
        <f t="shared" si="26"/>
        <v>4.9737319393216666</v>
      </c>
      <c r="W172" s="163" t="s">
        <v>495</v>
      </c>
      <c r="X172" s="156"/>
      <c r="AB172" s="156"/>
      <c r="AC172" s="164"/>
      <c r="AE172" s="165"/>
      <c r="AG172" s="3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Z172" s="156">
        <f>+N172-'Приложение №4'!E167</f>
        <v>0</v>
      </c>
    </row>
    <row r="173" spans="1:52" ht="15" x14ac:dyDescent="0.25">
      <c r="A173" s="122">
        <f t="shared" si="22"/>
        <v>156</v>
      </c>
      <c r="B173" s="62">
        <f t="shared" si="23"/>
        <v>156</v>
      </c>
      <c r="C173" s="169" t="s">
        <v>94</v>
      </c>
      <c r="D173" s="18" t="s">
        <v>1173</v>
      </c>
      <c r="E173" s="171">
        <v>1983</v>
      </c>
      <c r="F173" s="123"/>
      <c r="G173" s="123" t="s">
        <v>47</v>
      </c>
      <c r="H173" s="123" t="s">
        <v>108</v>
      </c>
      <c r="I173" s="123" t="s">
        <v>105</v>
      </c>
      <c r="J173" s="64">
        <v>4912.7</v>
      </c>
      <c r="K173" s="64">
        <v>4306.8999999999996</v>
      </c>
      <c r="L173" s="64">
        <v>0</v>
      </c>
      <c r="M173" s="124">
        <v>207</v>
      </c>
      <c r="N173" s="95">
        <f t="shared" si="18"/>
        <v>18290.740000000002</v>
      </c>
      <c r="O173" s="64"/>
      <c r="P173" s="64"/>
      <c r="Q173" s="64"/>
      <c r="R173" s="64">
        <f>+'Приложение №4'!E168</f>
        <v>18290.740000000002</v>
      </c>
      <c r="S173" s="64"/>
      <c r="T173" s="64"/>
      <c r="U173" s="64">
        <f t="shared" si="26"/>
        <v>4.2468457591306983</v>
      </c>
      <c r="V173" s="64">
        <f t="shared" si="26"/>
        <v>4.2468457591306983</v>
      </c>
      <c r="W173" s="163" t="s">
        <v>495</v>
      </c>
      <c r="X173" s="156"/>
      <c r="AB173" s="156"/>
      <c r="AC173" s="164"/>
      <c r="AE173" s="165"/>
      <c r="AG173" s="3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Z173" s="156">
        <f>+N173-'Приложение №4'!E168</f>
        <v>0</v>
      </c>
    </row>
    <row r="174" spans="1:52" ht="15" x14ac:dyDescent="0.25">
      <c r="A174" s="122">
        <f t="shared" si="22"/>
        <v>157</v>
      </c>
      <c r="B174" s="62">
        <f t="shared" si="23"/>
        <v>157</v>
      </c>
      <c r="C174" s="169" t="s">
        <v>94</v>
      </c>
      <c r="D174" s="18" t="s">
        <v>1174</v>
      </c>
      <c r="E174" s="171">
        <v>1984</v>
      </c>
      <c r="F174" s="123"/>
      <c r="G174" s="123" t="s">
        <v>47</v>
      </c>
      <c r="H174" s="123" t="s">
        <v>108</v>
      </c>
      <c r="I174" s="123" t="s">
        <v>105</v>
      </c>
      <c r="J174" s="64">
        <v>4843.5</v>
      </c>
      <c r="K174" s="64">
        <v>4286.3</v>
      </c>
      <c r="L174" s="64">
        <v>0</v>
      </c>
      <c r="M174" s="124">
        <v>205</v>
      </c>
      <c r="N174" s="95">
        <f t="shared" si="18"/>
        <v>2111.42</v>
      </c>
      <c r="O174" s="64"/>
      <c r="P174" s="64"/>
      <c r="Q174" s="64"/>
      <c r="R174" s="64">
        <f>+'Приложение №4'!E169</f>
        <v>2111.42</v>
      </c>
      <c r="S174" s="64"/>
      <c r="T174" s="64"/>
      <c r="U174" s="64">
        <f t="shared" si="26"/>
        <v>0.49259734502951263</v>
      </c>
      <c r="V174" s="64">
        <f t="shared" si="26"/>
        <v>0.49259734502951263</v>
      </c>
      <c r="W174" s="163" t="s">
        <v>495</v>
      </c>
      <c r="X174" s="156"/>
      <c r="AB174" s="156"/>
      <c r="AC174" s="164"/>
      <c r="AE174" s="165"/>
      <c r="AG174" s="3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Z174" s="156">
        <f>+N174-'Приложение №4'!E169</f>
        <v>0</v>
      </c>
    </row>
    <row r="175" spans="1:52" ht="15" x14ac:dyDescent="0.25">
      <c r="A175" s="122">
        <f t="shared" si="22"/>
        <v>158</v>
      </c>
      <c r="B175" s="62">
        <f t="shared" si="23"/>
        <v>158</v>
      </c>
      <c r="C175" s="169" t="s">
        <v>94</v>
      </c>
      <c r="D175" s="18" t="s">
        <v>1175</v>
      </c>
      <c r="E175" s="171">
        <v>1984</v>
      </c>
      <c r="F175" s="123"/>
      <c r="G175" s="123" t="s">
        <v>47</v>
      </c>
      <c r="H175" s="123" t="s">
        <v>108</v>
      </c>
      <c r="I175" s="123" t="s">
        <v>105</v>
      </c>
      <c r="J175" s="64">
        <v>4516.5</v>
      </c>
      <c r="K175" s="64">
        <v>4323.8999999999996</v>
      </c>
      <c r="L175" s="64">
        <v>0</v>
      </c>
      <c r="M175" s="124">
        <v>199</v>
      </c>
      <c r="N175" s="95">
        <f t="shared" si="18"/>
        <v>2111.84</v>
      </c>
      <c r="O175" s="64"/>
      <c r="P175" s="64"/>
      <c r="Q175" s="64"/>
      <c r="R175" s="64">
        <f>+'Приложение №4'!E170</f>
        <v>2111.84</v>
      </c>
      <c r="S175" s="64"/>
      <c r="T175" s="64"/>
      <c r="U175" s="64">
        <f t="shared" si="26"/>
        <v>0.48841092532204727</v>
      </c>
      <c r="V175" s="64">
        <f t="shared" si="26"/>
        <v>0.48841092532204727</v>
      </c>
      <c r="W175" s="163" t="s">
        <v>495</v>
      </c>
      <c r="X175" s="156"/>
      <c r="AB175" s="156"/>
      <c r="AC175" s="164"/>
      <c r="AE175" s="165"/>
      <c r="AG175" s="3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Z175" s="156">
        <f>+N175-'Приложение №4'!E170</f>
        <v>0</v>
      </c>
    </row>
    <row r="176" spans="1:52" ht="15" x14ac:dyDescent="0.25">
      <c r="A176" s="122">
        <f t="shared" si="22"/>
        <v>159</v>
      </c>
      <c r="B176" s="62">
        <f t="shared" si="23"/>
        <v>159</v>
      </c>
      <c r="C176" s="62" t="s">
        <v>94</v>
      </c>
      <c r="D176" s="102" t="s">
        <v>392</v>
      </c>
      <c r="E176" s="123" t="s">
        <v>124</v>
      </c>
      <c r="F176" s="123"/>
      <c r="G176" s="123" t="s">
        <v>96</v>
      </c>
      <c r="H176" s="123" t="s">
        <v>105</v>
      </c>
      <c r="I176" s="123" t="s">
        <v>101</v>
      </c>
      <c r="J176" s="64">
        <v>1681.47</v>
      </c>
      <c r="K176" s="64">
        <v>1519.87</v>
      </c>
      <c r="L176" s="64">
        <v>0</v>
      </c>
      <c r="M176" s="124">
        <v>43</v>
      </c>
      <c r="N176" s="95">
        <f t="shared" si="18"/>
        <v>550735.69999999995</v>
      </c>
      <c r="O176" s="64">
        <v>0</v>
      </c>
      <c r="P176" s="64"/>
      <c r="Q176" s="64"/>
      <c r="R176" s="64">
        <f>+'Приложение №4'!E171</f>
        <v>550735.69999999995</v>
      </c>
      <c r="S176" s="64"/>
      <c r="T176" s="64"/>
      <c r="U176" s="64">
        <f t="shared" si="26"/>
        <v>362.35710948962742</v>
      </c>
      <c r="V176" s="64">
        <f t="shared" si="26"/>
        <v>362.35710948962742</v>
      </c>
      <c r="W176" s="163" t="s">
        <v>495</v>
      </c>
      <c r="X176" s="156" t="e">
        <f>+N176-#REF!</f>
        <v>#REF!</v>
      </c>
      <c r="Y176" s="153">
        <v>906108.73</v>
      </c>
      <c r="Z176" s="153">
        <f t="shared" si="27"/>
        <v>165969.804</v>
      </c>
      <c r="AB176" s="156" t="e">
        <f>+N176-#REF!</f>
        <v>#REF!</v>
      </c>
      <c r="AC176" s="164">
        <f>+N176-'[12]Приложение № 4'!E159</f>
        <v>0</v>
      </c>
      <c r="AE176" s="165" t="e">
        <f>+N176-#REF!</f>
        <v>#REF!</v>
      </c>
      <c r="AG176" s="3" t="s">
        <v>392</v>
      </c>
      <c r="AH176" s="4">
        <f t="shared" si="28"/>
        <v>475238.43616746122</v>
      </c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>
        <v>433068.14638002124</v>
      </c>
      <c r="AV176" s="4">
        <v>42170.289787439993</v>
      </c>
      <c r="AW176" s="4"/>
      <c r="AZ176" s="156">
        <f>+N176-'Приложение №4'!E171</f>
        <v>0</v>
      </c>
    </row>
    <row r="177" spans="1:52" ht="15" x14ac:dyDescent="0.25">
      <c r="A177" s="122">
        <f t="shared" si="22"/>
        <v>160</v>
      </c>
      <c r="B177" s="62">
        <f t="shared" si="23"/>
        <v>160</v>
      </c>
      <c r="C177" s="62" t="s">
        <v>94</v>
      </c>
      <c r="D177" s="62" t="s">
        <v>393</v>
      </c>
      <c r="E177" s="123" t="s">
        <v>117</v>
      </c>
      <c r="F177" s="123"/>
      <c r="G177" s="123" t="s">
        <v>99</v>
      </c>
      <c r="H177" s="123" t="s">
        <v>105</v>
      </c>
      <c r="I177" s="123" t="s">
        <v>109</v>
      </c>
      <c r="J177" s="64">
        <v>6570.35</v>
      </c>
      <c r="K177" s="64">
        <v>4923.8</v>
      </c>
      <c r="L177" s="64">
        <v>0</v>
      </c>
      <c r="M177" s="124">
        <v>214</v>
      </c>
      <c r="N177" s="95">
        <f t="shared" si="18"/>
        <v>635450.6</v>
      </c>
      <c r="O177" s="64">
        <v>0</v>
      </c>
      <c r="P177" s="64"/>
      <c r="Q177" s="64"/>
      <c r="R177" s="64">
        <f>+'Приложение №4'!E172</f>
        <v>635450.6</v>
      </c>
      <c r="S177" s="64"/>
      <c r="T177" s="64"/>
      <c r="U177" s="64">
        <f t="shared" si="26"/>
        <v>129.05694788577927</v>
      </c>
      <c r="V177" s="64">
        <f t="shared" si="26"/>
        <v>129.05694788577927</v>
      </c>
      <c r="W177" s="163" t="s">
        <v>495</v>
      </c>
      <c r="X177" s="156" t="e">
        <f>+N177-#REF!</f>
        <v>#REF!</v>
      </c>
      <c r="Y177" s="153">
        <v>819102.16</v>
      </c>
      <c r="Z177" s="153">
        <f t="shared" si="27"/>
        <v>537678.96</v>
      </c>
      <c r="AB177" s="156" t="e">
        <f>+N177-#REF!</f>
        <v>#REF!</v>
      </c>
      <c r="AC177" s="164">
        <f>+N177-'[12]Приложение № 4'!E160</f>
        <v>0</v>
      </c>
      <c r="AE177" s="165" t="e">
        <f>+N177-#REF!</f>
        <v>#REF!</v>
      </c>
      <c r="AG177" s="3" t="s">
        <v>393</v>
      </c>
      <c r="AH177" s="4">
        <f t="shared" si="28"/>
        <v>652738.77318787284</v>
      </c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>
        <v>602419.46788747283</v>
      </c>
      <c r="AV177" s="4">
        <v>50319.305300400003</v>
      </c>
      <c r="AW177" s="4"/>
      <c r="AZ177" s="156">
        <f>+N177-'Приложение №4'!E172</f>
        <v>0</v>
      </c>
    </row>
    <row r="178" spans="1:52" ht="15" x14ac:dyDescent="0.25">
      <c r="A178" s="122">
        <f t="shared" si="22"/>
        <v>161</v>
      </c>
      <c r="B178" s="62">
        <f t="shared" si="23"/>
        <v>161</v>
      </c>
      <c r="C178" s="62" t="s">
        <v>94</v>
      </c>
      <c r="D178" s="62" t="s">
        <v>394</v>
      </c>
      <c r="E178" s="123" t="s">
        <v>116</v>
      </c>
      <c r="F178" s="123"/>
      <c r="G178" s="123" t="s">
        <v>99</v>
      </c>
      <c r="H178" s="123" t="s">
        <v>105</v>
      </c>
      <c r="I178" s="123" t="s">
        <v>105</v>
      </c>
      <c r="J178" s="64">
        <v>4671.96</v>
      </c>
      <c r="K178" s="64">
        <v>3440.7</v>
      </c>
      <c r="L178" s="64">
        <v>0</v>
      </c>
      <c r="M178" s="124">
        <v>128</v>
      </c>
      <c r="N178" s="95">
        <f t="shared" si="18"/>
        <v>486902.27999999991</v>
      </c>
      <c r="O178" s="64">
        <v>0</v>
      </c>
      <c r="P178" s="64"/>
      <c r="Q178" s="64"/>
      <c r="R178" s="64">
        <f>+'Приложение №4'!E173</f>
        <v>486902.27999999991</v>
      </c>
      <c r="S178" s="64"/>
      <c r="T178" s="64"/>
      <c r="U178" s="64">
        <f t="shared" si="26"/>
        <v>141.51256430377538</v>
      </c>
      <c r="V178" s="64">
        <f t="shared" si="26"/>
        <v>141.51256430377538</v>
      </c>
      <c r="W178" s="163" t="s">
        <v>495</v>
      </c>
      <c r="X178" s="156" t="e">
        <f>+N178-#REF!</f>
        <v>#REF!</v>
      </c>
      <c r="Y178" s="153">
        <v>1272728.27</v>
      </c>
      <c r="Z178" s="153">
        <f t="shared" si="27"/>
        <v>375724.43999999994</v>
      </c>
      <c r="AB178" s="156" t="e">
        <f>+N178-#REF!</f>
        <v>#REF!</v>
      </c>
      <c r="AC178" s="164">
        <f>+N178-'[12]Приложение № 4'!E161</f>
        <v>0</v>
      </c>
      <c r="AE178" s="165" t="e">
        <f>+N178-#REF!</f>
        <v>#REF!</v>
      </c>
      <c r="AG178" s="3" t="s">
        <v>394</v>
      </c>
      <c r="AH178" s="4">
        <f t="shared" si="28"/>
        <v>503409.46398691635</v>
      </c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>
        <v>456481.33627267636</v>
      </c>
      <c r="AV178" s="4">
        <v>46928.127714240007</v>
      </c>
      <c r="AW178" s="4"/>
      <c r="AZ178" s="156">
        <f>+N178-'Приложение №4'!E173</f>
        <v>0</v>
      </c>
    </row>
    <row r="179" spans="1:52" ht="15" x14ac:dyDescent="0.25">
      <c r="A179" s="122">
        <f t="shared" si="22"/>
        <v>162</v>
      </c>
      <c r="B179" s="62">
        <f t="shared" si="23"/>
        <v>162</v>
      </c>
      <c r="C179" s="62" t="s">
        <v>94</v>
      </c>
      <c r="D179" s="62" t="s">
        <v>243</v>
      </c>
      <c r="E179" s="123" t="s">
        <v>134</v>
      </c>
      <c r="F179" s="123"/>
      <c r="G179" s="123" t="s">
        <v>96</v>
      </c>
      <c r="H179" s="123" t="s">
        <v>105</v>
      </c>
      <c r="I179" s="123" t="s">
        <v>105</v>
      </c>
      <c r="J179" s="64">
        <v>3051.6</v>
      </c>
      <c r="K179" s="64">
        <v>2721.6</v>
      </c>
      <c r="L179" s="64">
        <v>0</v>
      </c>
      <c r="M179" s="124">
        <v>139</v>
      </c>
      <c r="N179" s="95">
        <f t="shared" si="18"/>
        <v>1413561.83</v>
      </c>
      <c r="O179" s="64">
        <v>0</v>
      </c>
      <c r="P179" s="64"/>
      <c r="Q179" s="64"/>
      <c r="R179" s="64">
        <f>+'Приложение №4'!E174</f>
        <v>1413561.83</v>
      </c>
      <c r="S179" s="64"/>
      <c r="T179" s="64"/>
      <c r="U179" s="64">
        <f t="shared" si="26"/>
        <v>519.38632789535575</v>
      </c>
      <c r="V179" s="64">
        <f t="shared" si="26"/>
        <v>519.38632789535575</v>
      </c>
      <c r="W179" s="163" t="s">
        <v>495</v>
      </c>
      <c r="X179" s="156" t="e">
        <f>+N179-#REF!</f>
        <v>#REF!</v>
      </c>
      <c r="Y179" s="153">
        <v>447292.8</v>
      </c>
      <c r="Z179" s="153">
        <f t="shared" si="27"/>
        <v>297198.71999999997</v>
      </c>
      <c r="AB179" s="156" t="e">
        <f>+N179-#REF!</f>
        <v>#REF!</v>
      </c>
      <c r="AC179" s="164">
        <f>+N179-'[12]Приложение № 4'!E162</f>
        <v>0</v>
      </c>
      <c r="AE179" s="165" t="e">
        <f>+N179-#REF!</f>
        <v>#REF!</v>
      </c>
      <c r="AG179" s="3" t="s">
        <v>243</v>
      </c>
      <c r="AH179" s="4">
        <f t="shared" si="28"/>
        <v>702682.21449537086</v>
      </c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>
        <v>658648.60714497091</v>
      </c>
      <c r="AV179" s="4">
        <v>44033.607350400001</v>
      </c>
      <c r="AW179" s="4"/>
      <c r="AZ179" s="156">
        <f>+N179-'Приложение №4'!E174</f>
        <v>0</v>
      </c>
    </row>
    <row r="180" spans="1:52" ht="15" x14ac:dyDescent="0.25">
      <c r="A180" s="122">
        <f t="shared" si="22"/>
        <v>163</v>
      </c>
      <c r="B180" s="62">
        <f t="shared" si="23"/>
        <v>163</v>
      </c>
      <c r="C180" s="62" t="s">
        <v>94</v>
      </c>
      <c r="D180" s="62" t="s">
        <v>395</v>
      </c>
      <c r="E180" s="123" t="s">
        <v>501</v>
      </c>
      <c r="F180" s="123"/>
      <c r="G180" s="123" t="s">
        <v>96</v>
      </c>
      <c r="H180" s="123" t="s">
        <v>105</v>
      </c>
      <c r="I180" s="123" t="s">
        <v>105</v>
      </c>
      <c r="J180" s="64">
        <v>2683.3</v>
      </c>
      <c r="K180" s="64">
        <v>2486.4</v>
      </c>
      <c r="L180" s="64">
        <v>0</v>
      </c>
      <c r="M180" s="124">
        <v>101</v>
      </c>
      <c r="N180" s="95">
        <f t="shared" si="18"/>
        <v>512696.55000000005</v>
      </c>
      <c r="O180" s="64">
        <v>0</v>
      </c>
      <c r="P180" s="64"/>
      <c r="Q180" s="64"/>
      <c r="R180" s="64">
        <f>+'Приложение №4'!E175</f>
        <v>512696.55000000005</v>
      </c>
      <c r="S180" s="64"/>
      <c r="T180" s="64"/>
      <c r="U180" s="64">
        <f t="shared" si="26"/>
        <v>206.20034990347492</v>
      </c>
      <c r="V180" s="64">
        <f t="shared" si="26"/>
        <v>206.20034990347492</v>
      </c>
      <c r="W180" s="163" t="s">
        <v>495</v>
      </c>
      <c r="X180" s="156" t="e">
        <f>+N180-#REF!</f>
        <v>#REF!</v>
      </c>
      <c r="Y180" s="153">
        <v>947131.75</v>
      </c>
      <c r="Z180" s="153">
        <f t="shared" si="27"/>
        <v>271514.88</v>
      </c>
      <c r="AB180" s="156" t="e">
        <f>+N180-#REF!</f>
        <v>#REF!</v>
      </c>
      <c r="AC180" s="164">
        <f>+N180-'[12]Приложение № 4'!E163</f>
        <v>0</v>
      </c>
      <c r="AE180" s="165" t="e">
        <f>+N180-#REF!</f>
        <v>#REF!</v>
      </c>
      <c r="AG180" s="3" t="s">
        <v>395</v>
      </c>
      <c r="AH180" s="4">
        <f t="shared" si="28"/>
        <v>529305.50803514558</v>
      </c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>
        <v>505305.50803514558</v>
      </c>
      <c r="AV180" s="4">
        <v>24000</v>
      </c>
      <c r="AW180" s="4"/>
      <c r="AZ180" s="156">
        <f>+N180-'Приложение №4'!E175</f>
        <v>0</v>
      </c>
    </row>
    <row r="181" spans="1:52" ht="15" x14ac:dyDescent="0.25">
      <c r="A181" s="122">
        <f t="shared" si="22"/>
        <v>164</v>
      </c>
      <c r="B181" s="62">
        <f t="shared" si="23"/>
        <v>164</v>
      </c>
      <c r="C181" s="62" t="s">
        <v>94</v>
      </c>
      <c r="D181" s="78" t="s">
        <v>1176</v>
      </c>
      <c r="E181" s="123">
        <v>1979</v>
      </c>
      <c r="F181" s="123"/>
      <c r="G181" s="123" t="s">
        <v>47</v>
      </c>
      <c r="H181" s="123" t="s">
        <v>109</v>
      </c>
      <c r="I181" s="123" t="s">
        <v>102</v>
      </c>
      <c r="J181" s="64">
        <v>7252.8</v>
      </c>
      <c r="K181" s="64">
        <v>6309.8</v>
      </c>
      <c r="L181" s="64">
        <v>0</v>
      </c>
      <c r="M181" s="124">
        <v>281</v>
      </c>
      <c r="N181" s="95">
        <f t="shared" si="18"/>
        <v>17948.03</v>
      </c>
      <c r="O181" s="64"/>
      <c r="P181" s="64"/>
      <c r="Q181" s="64"/>
      <c r="R181" s="64">
        <f>+'Приложение №4'!E176</f>
        <v>17948.03</v>
      </c>
      <c r="S181" s="64"/>
      <c r="T181" s="64"/>
      <c r="U181" s="64">
        <f t="shared" si="26"/>
        <v>2.8444689213604231</v>
      </c>
      <c r="V181" s="64">
        <f t="shared" si="26"/>
        <v>2.8444689213604231</v>
      </c>
      <c r="W181" s="163" t="s">
        <v>495</v>
      </c>
      <c r="X181" s="156"/>
      <c r="AB181" s="156"/>
      <c r="AC181" s="164"/>
      <c r="AE181" s="165"/>
      <c r="AG181" s="3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Z181" s="156">
        <f>+N181-'Приложение №4'!E176</f>
        <v>0</v>
      </c>
    </row>
    <row r="182" spans="1:52" ht="15" x14ac:dyDescent="0.25">
      <c r="A182" s="122">
        <f t="shared" si="22"/>
        <v>165</v>
      </c>
      <c r="B182" s="62">
        <f t="shared" si="23"/>
        <v>165</v>
      </c>
      <c r="C182" s="169" t="s">
        <v>94</v>
      </c>
      <c r="D182" s="18" t="s">
        <v>591</v>
      </c>
      <c r="E182" s="171">
        <v>1982</v>
      </c>
      <c r="F182" s="123"/>
      <c r="G182" s="123" t="s">
        <v>47</v>
      </c>
      <c r="H182" s="123" t="s">
        <v>108</v>
      </c>
      <c r="I182" s="123" t="s">
        <v>105</v>
      </c>
      <c r="J182" s="64">
        <v>5320.9</v>
      </c>
      <c r="K182" s="64">
        <v>4314.2</v>
      </c>
      <c r="L182" s="64">
        <v>0</v>
      </c>
      <c r="M182" s="124">
        <v>231</v>
      </c>
      <c r="N182" s="95">
        <f t="shared" si="18"/>
        <v>18768.54</v>
      </c>
      <c r="O182" s="64"/>
      <c r="P182" s="64"/>
      <c r="Q182" s="64"/>
      <c r="R182" s="64">
        <f>+'Приложение №4'!E177</f>
        <v>18768.54</v>
      </c>
      <c r="S182" s="64"/>
      <c r="T182" s="64"/>
      <c r="U182" s="64">
        <f t="shared" si="26"/>
        <v>4.3504102730517831</v>
      </c>
      <c r="V182" s="64">
        <f t="shared" si="26"/>
        <v>4.3504102730517831</v>
      </c>
      <c r="W182" s="163" t="s">
        <v>495</v>
      </c>
      <c r="X182" s="156"/>
      <c r="AB182" s="156"/>
      <c r="AC182" s="164"/>
      <c r="AE182" s="165"/>
      <c r="AG182" s="3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Z182" s="156">
        <f>+N182-'Приложение №4'!E177</f>
        <v>0</v>
      </c>
    </row>
    <row r="183" spans="1:52" ht="15" x14ac:dyDescent="0.25">
      <c r="A183" s="122">
        <f t="shared" si="22"/>
        <v>166</v>
      </c>
      <c r="B183" s="62">
        <f t="shared" si="23"/>
        <v>166</v>
      </c>
      <c r="C183" s="62" t="s">
        <v>94</v>
      </c>
      <c r="D183" s="102" t="s">
        <v>592</v>
      </c>
      <c r="E183" s="123">
        <v>1981</v>
      </c>
      <c r="F183" s="123"/>
      <c r="G183" s="123" t="s">
        <v>47</v>
      </c>
      <c r="H183" s="123" t="s">
        <v>108</v>
      </c>
      <c r="I183" s="123" t="s">
        <v>105</v>
      </c>
      <c r="J183" s="64">
        <v>4868</v>
      </c>
      <c r="K183" s="64">
        <v>4294.2</v>
      </c>
      <c r="L183" s="64">
        <v>0</v>
      </c>
      <c r="M183" s="124">
        <v>193</v>
      </c>
      <c r="N183" s="95">
        <f t="shared" si="18"/>
        <v>18890.400000000001</v>
      </c>
      <c r="O183" s="64"/>
      <c r="P183" s="64"/>
      <c r="Q183" s="64"/>
      <c r="R183" s="64">
        <f>+'Приложение №4'!E178</f>
        <v>18890.400000000001</v>
      </c>
      <c r="S183" s="64"/>
      <c r="T183" s="64"/>
      <c r="U183" s="64">
        <f t="shared" si="26"/>
        <v>4.3990498812351548</v>
      </c>
      <c r="V183" s="64">
        <f t="shared" si="26"/>
        <v>4.3990498812351548</v>
      </c>
      <c r="W183" s="163" t="s">
        <v>495</v>
      </c>
      <c r="X183" s="156"/>
      <c r="AB183" s="156"/>
      <c r="AC183" s="164"/>
      <c r="AE183" s="165"/>
      <c r="AG183" s="3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Z183" s="156">
        <f>+N183-'Приложение №4'!E178</f>
        <v>0</v>
      </c>
    </row>
    <row r="184" spans="1:52" ht="15" x14ac:dyDescent="0.25">
      <c r="A184" s="122">
        <f t="shared" si="22"/>
        <v>167</v>
      </c>
      <c r="B184" s="62">
        <f t="shared" si="23"/>
        <v>167</v>
      </c>
      <c r="C184" s="62" t="s">
        <v>94</v>
      </c>
      <c r="D184" s="62" t="s">
        <v>245</v>
      </c>
      <c r="E184" s="123" t="s">
        <v>510</v>
      </c>
      <c r="F184" s="123"/>
      <c r="G184" s="123" t="s">
        <v>96</v>
      </c>
      <c r="H184" s="123" t="s">
        <v>101</v>
      </c>
      <c r="I184" s="123" t="s">
        <v>98</v>
      </c>
      <c r="J184" s="64">
        <v>1144.0999999999999</v>
      </c>
      <c r="K184" s="64">
        <v>1054.7</v>
      </c>
      <c r="L184" s="64">
        <v>0</v>
      </c>
      <c r="M184" s="124">
        <v>26</v>
      </c>
      <c r="N184" s="95">
        <f t="shared" si="18"/>
        <v>951248.59999999986</v>
      </c>
      <c r="O184" s="64">
        <v>0</v>
      </c>
      <c r="P184" s="64"/>
      <c r="Q184" s="64"/>
      <c r="R184" s="64">
        <f>+'[12]Приложение № 4'!E164</f>
        <v>951248.59999999986</v>
      </c>
      <c r="S184" s="64"/>
      <c r="T184" s="64"/>
      <c r="U184" s="64">
        <f t="shared" si="26"/>
        <v>901.91390916848377</v>
      </c>
      <c r="V184" s="64">
        <f t="shared" si="26"/>
        <v>901.91390916848377</v>
      </c>
      <c r="W184" s="163" t="s">
        <v>495</v>
      </c>
      <c r="X184" s="156" t="e">
        <f>+N184-#REF!</f>
        <v>#REF!</v>
      </c>
      <c r="Y184" s="153">
        <v>256283.57</v>
      </c>
      <c r="Z184" s="153">
        <f t="shared" si="27"/>
        <v>115173.24</v>
      </c>
      <c r="AB184" s="156" t="e">
        <f>+N184-#REF!</f>
        <v>#REF!</v>
      </c>
      <c r="AC184" s="164">
        <f>+N184-'[12]Приложение № 4'!E164</f>
        <v>0</v>
      </c>
      <c r="AE184" s="165" t="e">
        <f>+N184-#REF!</f>
        <v>#REF!</v>
      </c>
      <c r="AG184" s="3" t="s">
        <v>245</v>
      </c>
      <c r="AH184" s="4">
        <f t="shared" si="28"/>
        <v>342022.27478857868</v>
      </c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>
        <v>300909.51000617869</v>
      </c>
      <c r="AV184" s="4">
        <v>41112.764782400001</v>
      </c>
      <c r="AW184" s="4"/>
      <c r="AZ184" s="156">
        <f>+N184-'Приложение №4'!E179</f>
        <v>0</v>
      </c>
    </row>
    <row r="185" spans="1:52" ht="15" x14ac:dyDescent="0.25">
      <c r="A185" s="122">
        <f t="shared" si="22"/>
        <v>168</v>
      </c>
      <c r="B185" s="62">
        <f t="shared" si="23"/>
        <v>168</v>
      </c>
      <c r="C185" s="62" t="s">
        <v>94</v>
      </c>
      <c r="D185" s="62" t="s">
        <v>593</v>
      </c>
      <c r="E185" s="123">
        <v>1981</v>
      </c>
      <c r="F185" s="123"/>
      <c r="G185" s="123" t="s">
        <v>47</v>
      </c>
      <c r="H185" s="123" t="s">
        <v>105</v>
      </c>
      <c r="I185" s="123" t="s">
        <v>105</v>
      </c>
      <c r="J185" s="64">
        <v>4985.1000000000004</v>
      </c>
      <c r="K185" s="64">
        <v>4317.5</v>
      </c>
      <c r="L185" s="64">
        <v>0</v>
      </c>
      <c r="M185" s="124">
        <v>193</v>
      </c>
      <c r="N185" s="95">
        <f t="shared" si="18"/>
        <v>18826.990000000002</v>
      </c>
      <c r="O185" s="64"/>
      <c r="P185" s="64"/>
      <c r="Q185" s="64"/>
      <c r="R185" s="64">
        <v>18826.990000000002</v>
      </c>
      <c r="S185" s="64"/>
      <c r="T185" s="64"/>
      <c r="U185" s="64">
        <f t="shared" si="26"/>
        <v>4.3606230457440649</v>
      </c>
      <c r="V185" s="64">
        <f t="shared" si="26"/>
        <v>4.3606230457440649</v>
      </c>
      <c r="W185" s="163" t="s">
        <v>495</v>
      </c>
      <c r="X185" s="156"/>
      <c r="AB185" s="156"/>
      <c r="AC185" s="164"/>
      <c r="AE185" s="165"/>
      <c r="AG185" s="3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Z185" s="156">
        <f>+N185-'Приложение №4'!E180</f>
        <v>0</v>
      </c>
    </row>
    <row r="186" spans="1:52" ht="15" x14ac:dyDescent="0.25">
      <c r="A186" s="122">
        <f t="shared" si="22"/>
        <v>169</v>
      </c>
      <c r="B186" s="62">
        <f t="shared" si="23"/>
        <v>169</v>
      </c>
      <c r="C186" s="62" t="s">
        <v>94</v>
      </c>
      <c r="D186" s="78" t="s">
        <v>396</v>
      </c>
      <c r="E186" s="123" t="s">
        <v>509</v>
      </c>
      <c r="F186" s="123"/>
      <c r="G186" s="123" t="s">
        <v>96</v>
      </c>
      <c r="H186" s="123" t="s">
        <v>105</v>
      </c>
      <c r="I186" s="123" t="s">
        <v>105</v>
      </c>
      <c r="J186" s="64">
        <v>1678.9</v>
      </c>
      <c r="K186" s="64">
        <v>1533.7</v>
      </c>
      <c r="L186" s="64">
        <v>0</v>
      </c>
      <c r="M186" s="124">
        <v>74</v>
      </c>
      <c r="N186" s="95">
        <f t="shared" si="18"/>
        <v>266552.34999999998</v>
      </c>
      <c r="O186" s="64">
        <v>0</v>
      </c>
      <c r="P186" s="64"/>
      <c r="Q186" s="64"/>
      <c r="R186" s="64">
        <f>+'[12]Приложение № 4'!E165</f>
        <v>266552.34999999998</v>
      </c>
      <c r="S186" s="64"/>
      <c r="T186" s="64"/>
      <c r="U186" s="64">
        <f t="shared" si="26"/>
        <v>173.79692899524025</v>
      </c>
      <c r="V186" s="64">
        <f t="shared" si="26"/>
        <v>173.79692899524025</v>
      </c>
      <c r="W186" s="163" t="s">
        <v>495</v>
      </c>
      <c r="X186" s="156" t="e">
        <f>+N186-#REF!</f>
        <v>#REF!</v>
      </c>
      <c r="Y186" s="153">
        <v>771486.67</v>
      </c>
      <c r="Z186" s="153">
        <f t="shared" si="27"/>
        <v>167480.04</v>
      </c>
      <c r="AB186" s="156" t="e">
        <f>+N186-#REF!</f>
        <v>#REF!</v>
      </c>
      <c r="AC186" s="164">
        <f>+N186-'[12]Приложение № 4'!E165</f>
        <v>0</v>
      </c>
      <c r="AE186" s="165" t="e">
        <f>+N186-#REF!</f>
        <v>#REF!</v>
      </c>
      <c r="AG186" s="3" t="s">
        <v>396</v>
      </c>
      <c r="AH186" s="4">
        <f t="shared" si="28"/>
        <v>466920.62854980899</v>
      </c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>
        <v>424872.54255540902</v>
      </c>
      <c r="AV186" s="4">
        <v>42048.085994399997</v>
      </c>
      <c r="AW186" s="4"/>
      <c r="AZ186" s="156">
        <f>+N186-'Приложение №4'!E181</f>
        <v>0</v>
      </c>
    </row>
    <row r="187" spans="1:52" ht="15" x14ac:dyDescent="0.25">
      <c r="A187" s="122">
        <f t="shared" si="22"/>
        <v>170</v>
      </c>
      <c r="B187" s="62">
        <f t="shared" si="23"/>
        <v>170</v>
      </c>
      <c r="C187" s="169" t="s">
        <v>94</v>
      </c>
      <c r="D187" s="18" t="s">
        <v>1141</v>
      </c>
      <c r="E187" s="171" t="s">
        <v>125</v>
      </c>
      <c r="F187" s="123"/>
      <c r="G187" s="123" t="s">
        <v>43</v>
      </c>
      <c r="H187" s="123" t="s">
        <v>105</v>
      </c>
      <c r="I187" s="123" t="s">
        <v>101</v>
      </c>
      <c r="J187" s="64">
        <v>2508.8000000000002</v>
      </c>
      <c r="K187" s="64">
        <v>1514.2</v>
      </c>
      <c r="L187" s="64">
        <v>994.6</v>
      </c>
      <c r="M187" s="124">
        <v>75</v>
      </c>
      <c r="N187" s="95">
        <f t="shared" si="18"/>
        <v>73214.666552932409</v>
      </c>
      <c r="O187" s="64"/>
      <c r="P187" s="64"/>
      <c r="Q187" s="64"/>
      <c r="R187" s="64">
        <f>+'Приложение №4'!E182</f>
        <v>73214.666552932409</v>
      </c>
      <c r="S187" s="64"/>
      <c r="T187" s="64"/>
      <c r="U187" s="64">
        <f t="shared" si="26"/>
        <v>29.183141961468593</v>
      </c>
      <c r="V187" s="64">
        <f t="shared" si="26"/>
        <v>29.183141961468593</v>
      </c>
      <c r="W187" s="163" t="s">
        <v>495</v>
      </c>
      <c r="X187" s="156"/>
      <c r="AB187" s="156"/>
      <c r="AC187" s="164"/>
      <c r="AE187" s="165"/>
      <c r="AG187" s="3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Z187" s="156">
        <f>+N187-'Приложение №4'!E182</f>
        <v>0</v>
      </c>
    </row>
    <row r="188" spans="1:52" ht="15" x14ac:dyDescent="0.25">
      <c r="A188" s="122">
        <f t="shared" si="22"/>
        <v>171</v>
      </c>
      <c r="B188" s="62">
        <f t="shared" si="23"/>
        <v>171</v>
      </c>
      <c r="C188" s="62" t="s">
        <v>94</v>
      </c>
      <c r="D188" s="102" t="s">
        <v>397</v>
      </c>
      <c r="E188" s="123" t="s">
        <v>112</v>
      </c>
      <c r="F188" s="123"/>
      <c r="G188" s="123" t="s">
        <v>96</v>
      </c>
      <c r="H188" s="123" t="s">
        <v>101</v>
      </c>
      <c r="I188" s="123"/>
      <c r="J188" s="64">
        <v>1672</v>
      </c>
      <c r="K188" s="64">
        <v>1326.4</v>
      </c>
      <c r="L188" s="64">
        <v>0</v>
      </c>
      <c r="M188" s="124">
        <v>2</v>
      </c>
      <c r="N188" s="95">
        <f t="shared" si="18"/>
        <v>1612207.31</v>
      </c>
      <c r="O188" s="64">
        <v>0</v>
      </c>
      <c r="P188" s="64"/>
      <c r="Q188" s="64"/>
      <c r="R188" s="64">
        <f>+'[12]Приложение № 4'!E166</f>
        <v>1612207.31</v>
      </c>
      <c r="S188" s="64"/>
      <c r="T188" s="64"/>
      <c r="U188" s="64">
        <f t="shared" si="26"/>
        <v>1215.4759574788902</v>
      </c>
      <c r="V188" s="64">
        <f t="shared" si="26"/>
        <v>1215.4759574788902</v>
      </c>
      <c r="W188" s="163" t="s">
        <v>495</v>
      </c>
      <c r="X188" s="156" t="e">
        <f>+N188-#REF!</f>
        <v>#REF!</v>
      </c>
      <c r="Y188" s="153">
        <v>8550.2099999999991</v>
      </c>
      <c r="Z188" s="153">
        <f t="shared" si="27"/>
        <v>144842.88</v>
      </c>
      <c r="AB188" s="156" t="e">
        <f>+N188-#REF!</f>
        <v>#REF!</v>
      </c>
      <c r="AC188" s="164">
        <f>+N188-'[12]Приложение № 4'!E166</f>
        <v>0</v>
      </c>
      <c r="AE188" s="165" t="e">
        <f>+N188-#REF!</f>
        <v>#REF!</v>
      </c>
      <c r="AG188" s="3" t="s">
        <v>397</v>
      </c>
      <c r="AH188" s="4">
        <f t="shared" si="28"/>
        <v>1690061.3761725361</v>
      </c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>
        <v>1647781.073964536</v>
      </c>
      <c r="AV188" s="4">
        <v>42280.302208000001</v>
      </c>
      <c r="AW188" s="4"/>
      <c r="AZ188" s="156">
        <f>+N188-'Приложение №4'!E183</f>
        <v>0</v>
      </c>
    </row>
    <row r="189" spans="1:52" ht="15" x14ac:dyDescent="0.25">
      <c r="A189" s="122">
        <f t="shared" si="22"/>
        <v>172</v>
      </c>
      <c r="B189" s="62">
        <f t="shared" si="23"/>
        <v>172</v>
      </c>
      <c r="C189" s="62" t="s">
        <v>94</v>
      </c>
      <c r="D189" s="62" t="s">
        <v>398</v>
      </c>
      <c r="E189" s="123" t="s">
        <v>115</v>
      </c>
      <c r="F189" s="123"/>
      <c r="G189" s="123" t="s">
        <v>96</v>
      </c>
      <c r="H189" s="123" t="s">
        <v>105</v>
      </c>
      <c r="I189" s="123" t="s">
        <v>105</v>
      </c>
      <c r="J189" s="64">
        <v>2981.5</v>
      </c>
      <c r="K189" s="64">
        <v>2725.7</v>
      </c>
      <c r="L189" s="64">
        <v>0</v>
      </c>
      <c r="M189" s="124">
        <v>153</v>
      </c>
      <c r="N189" s="95">
        <f t="shared" si="18"/>
        <v>1234956.9000000001</v>
      </c>
      <c r="O189" s="64">
        <v>0</v>
      </c>
      <c r="P189" s="64"/>
      <c r="Q189" s="64"/>
      <c r="R189" s="64">
        <f>+'[12]Приложение № 4'!E167</f>
        <v>1234956.9000000001</v>
      </c>
      <c r="S189" s="64"/>
      <c r="T189" s="64"/>
      <c r="U189" s="64">
        <f t="shared" si="26"/>
        <v>453.07880544447306</v>
      </c>
      <c r="V189" s="64">
        <f t="shared" si="26"/>
        <v>453.07880544447306</v>
      </c>
      <c r="W189" s="163" t="s">
        <v>495</v>
      </c>
      <c r="X189" s="156" t="e">
        <f>+N189-#REF!</f>
        <v>#REF!</v>
      </c>
      <c r="Y189" s="153">
        <v>1006045.75</v>
      </c>
      <c r="Z189" s="153">
        <f t="shared" si="27"/>
        <v>297646.44</v>
      </c>
      <c r="AB189" s="156" t="e">
        <f>+N189-#REF!</f>
        <v>#REF!</v>
      </c>
      <c r="AC189" s="164">
        <f>+N189-'[12]Приложение № 4'!E167</f>
        <v>0</v>
      </c>
      <c r="AE189" s="165" t="e">
        <f>+N189-#REF!</f>
        <v>#REF!</v>
      </c>
      <c r="AG189" s="3" t="s">
        <v>398</v>
      </c>
      <c r="AH189" s="4">
        <f t="shared" si="28"/>
        <v>1294318.0869843536</v>
      </c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>
        <v>1250409.7023483536</v>
      </c>
      <c r="AV189" s="4">
        <v>43908.384636000003</v>
      </c>
      <c r="AW189" s="4"/>
      <c r="AZ189" s="156">
        <f>+N189-'Приложение №4'!E184</f>
        <v>0</v>
      </c>
    </row>
    <row r="190" spans="1:52" ht="15" x14ac:dyDescent="0.25">
      <c r="A190" s="122">
        <f t="shared" si="22"/>
        <v>173</v>
      </c>
      <c r="B190" s="62">
        <f t="shared" si="23"/>
        <v>173</v>
      </c>
      <c r="C190" s="62" t="s">
        <v>94</v>
      </c>
      <c r="D190" s="62" t="s">
        <v>248</v>
      </c>
      <c r="E190" s="123" t="s">
        <v>115</v>
      </c>
      <c r="F190" s="123"/>
      <c r="G190" s="123" t="s">
        <v>96</v>
      </c>
      <c r="H190" s="123" t="s">
        <v>98</v>
      </c>
      <c r="I190" s="123"/>
      <c r="J190" s="64">
        <v>377.86</v>
      </c>
      <c r="K190" s="64">
        <v>357.85</v>
      </c>
      <c r="L190" s="64">
        <v>0</v>
      </c>
      <c r="M190" s="124">
        <v>2</v>
      </c>
      <c r="N190" s="95">
        <f t="shared" si="18"/>
        <v>536165.37</v>
      </c>
      <c r="O190" s="64">
        <v>0</v>
      </c>
      <c r="P190" s="64"/>
      <c r="Q190" s="64"/>
      <c r="R190" s="64">
        <f>+'[12]Приложение № 4'!E168</f>
        <v>536165.37</v>
      </c>
      <c r="S190" s="64"/>
      <c r="T190" s="64"/>
      <c r="U190" s="64">
        <f t="shared" si="26"/>
        <v>1498.2964091099623</v>
      </c>
      <c r="V190" s="64">
        <f t="shared" si="26"/>
        <v>1498.2964091099623</v>
      </c>
      <c r="W190" s="163" t="s">
        <v>495</v>
      </c>
      <c r="X190" s="156" t="e">
        <f>+N190-#REF!</f>
        <v>#REF!</v>
      </c>
      <c r="Z190" s="153">
        <f t="shared" si="27"/>
        <v>39077.22</v>
      </c>
      <c r="AB190" s="156" t="e">
        <f>+N190-#REF!</f>
        <v>#REF!</v>
      </c>
      <c r="AC190" s="164">
        <f>+N190-'[12]Приложение № 4'!E168</f>
        <v>0</v>
      </c>
      <c r="AE190" s="165" t="e">
        <f>+N190-#REF!</f>
        <v>#REF!</v>
      </c>
      <c r="AG190" s="3" t="s">
        <v>248</v>
      </c>
      <c r="AH190" s="4">
        <f t="shared" si="28"/>
        <v>247214.50509007691</v>
      </c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>
        <v>207474.98290063691</v>
      </c>
      <c r="AV190" s="4">
        <v>39739.522189440002</v>
      </c>
      <c r="AW190" s="4"/>
      <c r="AZ190" s="156">
        <f>+N190-'Приложение №4'!E185</f>
        <v>0</v>
      </c>
    </row>
    <row r="191" spans="1:52" ht="15" x14ac:dyDescent="0.25">
      <c r="A191" s="122">
        <f t="shared" si="22"/>
        <v>174</v>
      </c>
      <c r="B191" s="62">
        <f t="shared" si="23"/>
        <v>174</v>
      </c>
      <c r="C191" s="62" t="s">
        <v>94</v>
      </c>
      <c r="D191" s="62" t="s">
        <v>249</v>
      </c>
      <c r="E191" s="123" t="s">
        <v>509</v>
      </c>
      <c r="F191" s="123"/>
      <c r="G191" s="123" t="s">
        <v>96</v>
      </c>
      <c r="H191" s="123" t="s">
        <v>101</v>
      </c>
      <c r="I191" s="123" t="s">
        <v>98</v>
      </c>
      <c r="J191" s="64">
        <v>1050.44</v>
      </c>
      <c r="K191" s="64">
        <v>960.84</v>
      </c>
      <c r="L191" s="64">
        <v>0</v>
      </c>
      <c r="M191" s="124">
        <v>84</v>
      </c>
      <c r="N191" s="95">
        <f t="shared" si="18"/>
        <v>810630.17</v>
      </c>
      <c r="O191" s="64">
        <v>0</v>
      </c>
      <c r="P191" s="64"/>
      <c r="Q191" s="64"/>
      <c r="R191" s="64">
        <f>+'[12]Приложение № 4'!E169</f>
        <v>810630.17</v>
      </c>
      <c r="S191" s="64"/>
      <c r="T191" s="64"/>
      <c r="U191" s="64">
        <f t="shared" si="26"/>
        <v>843.66821739311433</v>
      </c>
      <c r="V191" s="64">
        <f t="shared" si="26"/>
        <v>843.66821739311433</v>
      </c>
      <c r="W191" s="163" t="s">
        <v>495</v>
      </c>
      <c r="X191" s="156" t="e">
        <f>+N191-#REF!</f>
        <v>#REF!</v>
      </c>
      <c r="Y191" s="153">
        <v>136239.6</v>
      </c>
      <c r="Z191" s="153">
        <f t="shared" si="27"/>
        <v>104923.728</v>
      </c>
      <c r="AB191" s="156" t="e">
        <f>+N191-#REF!</f>
        <v>#REF!</v>
      </c>
      <c r="AC191" s="164">
        <f>+N191-'[12]Приложение № 4'!E169</f>
        <v>0</v>
      </c>
      <c r="AE191" s="165" t="e">
        <f>+N191-#REF!</f>
        <v>#REF!</v>
      </c>
      <c r="AG191" s="3" t="s">
        <v>249</v>
      </c>
      <c r="AH191" s="4">
        <f t="shared" si="28"/>
        <v>675696.87893987796</v>
      </c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>
        <v>634791.25860771793</v>
      </c>
      <c r="AV191" s="4">
        <v>40905.620332160004</v>
      </c>
      <c r="AW191" s="4"/>
      <c r="AZ191" s="156">
        <f>+N191-'Приложение №4'!E186</f>
        <v>0</v>
      </c>
    </row>
    <row r="192" spans="1:52" ht="15" x14ac:dyDescent="0.25">
      <c r="A192" s="122">
        <f t="shared" si="22"/>
        <v>175</v>
      </c>
      <c r="B192" s="62">
        <f t="shared" si="23"/>
        <v>175</v>
      </c>
      <c r="C192" s="62" t="s">
        <v>94</v>
      </c>
      <c r="D192" s="62" t="s">
        <v>399</v>
      </c>
      <c r="E192" s="123" t="s">
        <v>115</v>
      </c>
      <c r="F192" s="123"/>
      <c r="G192" s="123" t="s">
        <v>96</v>
      </c>
      <c r="H192" s="123" t="s">
        <v>105</v>
      </c>
      <c r="I192" s="123" t="s">
        <v>105</v>
      </c>
      <c r="J192" s="64">
        <v>2863.1</v>
      </c>
      <c r="K192" s="64">
        <v>2466.1</v>
      </c>
      <c r="L192" s="64">
        <v>0</v>
      </c>
      <c r="M192" s="124">
        <v>127</v>
      </c>
      <c r="N192" s="95">
        <f t="shared" si="18"/>
        <v>841259.35</v>
      </c>
      <c r="O192" s="64">
        <v>0</v>
      </c>
      <c r="P192" s="64"/>
      <c r="Q192" s="64"/>
      <c r="R192" s="64">
        <f>+'[12]Приложение № 4'!E170</f>
        <v>841259.35</v>
      </c>
      <c r="S192" s="64"/>
      <c r="T192" s="64"/>
      <c r="U192" s="64">
        <f t="shared" si="26"/>
        <v>341.12945541543326</v>
      </c>
      <c r="V192" s="64">
        <f t="shared" si="26"/>
        <v>341.12945541543326</v>
      </c>
      <c r="W192" s="163" t="s">
        <v>495</v>
      </c>
      <c r="X192" s="156" t="e">
        <f>+N192-#REF!</f>
        <v>#REF!</v>
      </c>
      <c r="Y192" s="153">
        <v>1387330</v>
      </c>
      <c r="Z192" s="153">
        <f t="shared" si="27"/>
        <v>269298.12</v>
      </c>
      <c r="AB192" s="156" t="e">
        <f>+N192-#REF!</f>
        <v>#REF!</v>
      </c>
      <c r="AC192" s="164">
        <f>+N192-'[12]Приложение № 4'!E170</f>
        <v>0</v>
      </c>
      <c r="AE192" s="165" t="e">
        <f>+N192-#REF!</f>
        <v>#REF!</v>
      </c>
      <c r="AG192" s="3" t="s">
        <v>399</v>
      </c>
      <c r="AH192" s="4">
        <f t="shared" si="28"/>
        <v>859629.50793349743</v>
      </c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>
        <v>815380.28886229743</v>
      </c>
      <c r="AV192" s="4">
        <v>44249.219071200001</v>
      </c>
      <c r="AW192" s="4"/>
      <c r="AZ192" s="156">
        <f>+N192-'Приложение №4'!E187</f>
        <v>0</v>
      </c>
    </row>
    <row r="193" spans="1:52" ht="15" x14ac:dyDescent="0.25">
      <c r="A193" s="122">
        <f t="shared" si="22"/>
        <v>176</v>
      </c>
      <c r="B193" s="62">
        <f t="shared" si="23"/>
        <v>176</v>
      </c>
      <c r="C193" s="62" t="s">
        <v>94</v>
      </c>
      <c r="D193" s="62" t="s">
        <v>400</v>
      </c>
      <c r="E193" s="123" t="s">
        <v>503</v>
      </c>
      <c r="F193" s="123"/>
      <c r="G193" s="123" t="s">
        <v>96</v>
      </c>
      <c r="H193" s="123" t="s">
        <v>105</v>
      </c>
      <c r="I193" s="123" t="s">
        <v>105</v>
      </c>
      <c r="J193" s="64">
        <v>2661.8</v>
      </c>
      <c r="K193" s="64">
        <v>2428</v>
      </c>
      <c r="L193" s="64">
        <v>0</v>
      </c>
      <c r="M193" s="124">
        <v>113</v>
      </c>
      <c r="N193" s="95">
        <f t="shared" si="18"/>
        <v>486381.39</v>
      </c>
      <c r="O193" s="64">
        <v>0</v>
      </c>
      <c r="P193" s="64"/>
      <c r="Q193" s="64"/>
      <c r="R193" s="64">
        <f>+'[12]Приложение № 4'!E171</f>
        <v>486381.39</v>
      </c>
      <c r="S193" s="64"/>
      <c r="T193" s="64"/>
      <c r="U193" s="64">
        <f t="shared" si="26"/>
        <v>200.32182454695223</v>
      </c>
      <c r="V193" s="64">
        <f t="shared" si="26"/>
        <v>200.32182454695223</v>
      </c>
      <c r="W193" s="163" t="s">
        <v>495</v>
      </c>
      <c r="X193" s="156" t="e">
        <f>+N193-#REF!</f>
        <v>#REF!</v>
      </c>
      <c r="Y193" s="153">
        <v>895783.85</v>
      </c>
      <c r="Z193" s="153">
        <f t="shared" si="27"/>
        <v>265137.59999999998</v>
      </c>
      <c r="AB193" s="156" t="e">
        <f>+N193-#REF!</f>
        <v>#REF!</v>
      </c>
      <c r="AC193" s="164">
        <f>+N193-'[12]Приложение № 4'!E171</f>
        <v>0</v>
      </c>
      <c r="AE193" s="165" t="e">
        <f>+N193-#REF!</f>
        <v>#REF!</v>
      </c>
      <c r="AG193" s="3" t="s">
        <v>400</v>
      </c>
      <c r="AH193" s="4">
        <f t="shared" si="28"/>
        <v>502885.87211726588</v>
      </c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>
        <v>459548.5816580659</v>
      </c>
      <c r="AV193" s="4">
        <v>43337.290459199998</v>
      </c>
      <c r="AW193" s="4"/>
      <c r="AZ193" s="156">
        <f>+N193-'Приложение №4'!E188</f>
        <v>0</v>
      </c>
    </row>
    <row r="194" spans="1:52" ht="15" x14ac:dyDescent="0.25">
      <c r="A194" s="122">
        <f t="shared" si="22"/>
        <v>177</v>
      </c>
      <c r="B194" s="62">
        <f t="shared" si="23"/>
        <v>177</v>
      </c>
      <c r="C194" s="62" t="s">
        <v>94</v>
      </c>
      <c r="D194" s="62" t="s">
        <v>235</v>
      </c>
      <c r="E194" s="123" t="s">
        <v>113</v>
      </c>
      <c r="F194" s="123"/>
      <c r="G194" s="123" t="s">
        <v>96</v>
      </c>
      <c r="H194" s="123" t="s">
        <v>108</v>
      </c>
      <c r="I194" s="123" t="s">
        <v>109</v>
      </c>
      <c r="J194" s="64">
        <v>7017.53</v>
      </c>
      <c r="K194" s="64">
        <v>6232.3</v>
      </c>
      <c r="L194" s="64">
        <v>0</v>
      </c>
      <c r="M194" s="124">
        <v>260</v>
      </c>
      <c r="N194" s="95">
        <f t="shared" si="18"/>
        <v>287836.49</v>
      </c>
      <c r="O194" s="64">
        <v>0</v>
      </c>
      <c r="P194" s="64"/>
      <c r="Q194" s="64"/>
      <c r="R194" s="64">
        <f>+'[12]Приложение № 4'!E172</f>
        <v>287836.49</v>
      </c>
      <c r="S194" s="64"/>
      <c r="T194" s="64"/>
      <c r="U194" s="64">
        <f t="shared" si="26"/>
        <v>46.184633281453074</v>
      </c>
      <c r="V194" s="64">
        <f t="shared" si="26"/>
        <v>46.184633281453074</v>
      </c>
      <c r="W194" s="163" t="s">
        <v>495</v>
      </c>
      <c r="X194" s="156" t="e">
        <f>+N194-#REF!</f>
        <v>#REF!</v>
      </c>
      <c r="Y194" s="153">
        <v>2136092.94</v>
      </c>
      <c r="Z194" s="153">
        <f>+(K194*9.1+L194*18.19)*12</f>
        <v>680567.16</v>
      </c>
      <c r="AB194" s="156" t="e">
        <f>+N194-#REF!</f>
        <v>#REF!</v>
      </c>
      <c r="AC194" s="164">
        <f>+N194-'[12]Приложение № 4'!E172</f>
        <v>0</v>
      </c>
      <c r="AE194" s="165" t="e">
        <f>+N194-#REF!</f>
        <v>#REF!</v>
      </c>
      <c r="AG194" s="3" t="s">
        <v>235</v>
      </c>
      <c r="AH194" s="4">
        <f t="shared" si="21"/>
        <v>292053.41260799998</v>
      </c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>
        <v>268053.41260799998</v>
      </c>
      <c r="AV194" s="4">
        <v>24000</v>
      </c>
      <c r="AW194" s="4"/>
      <c r="AZ194" s="156">
        <f>+N194-'Приложение №4'!E189</f>
        <v>0</v>
      </c>
    </row>
    <row r="195" spans="1:52" ht="15" x14ac:dyDescent="0.25">
      <c r="A195" s="122">
        <f t="shared" si="22"/>
        <v>178</v>
      </c>
      <c r="B195" s="62">
        <f t="shared" si="23"/>
        <v>178</v>
      </c>
      <c r="C195" s="62" t="s">
        <v>94</v>
      </c>
      <c r="D195" s="62" t="s">
        <v>236</v>
      </c>
      <c r="E195" s="123" t="s">
        <v>104</v>
      </c>
      <c r="F195" s="123"/>
      <c r="G195" s="123" t="s">
        <v>99</v>
      </c>
      <c r="H195" s="123" t="s">
        <v>108</v>
      </c>
      <c r="I195" s="123" t="s">
        <v>109</v>
      </c>
      <c r="J195" s="64">
        <v>5593.2</v>
      </c>
      <c r="K195" s="64">
        <v>4919.8</v>
      </c>
      <c r="L195" s="64">
        <v>0</v>
      </c>
      <c r="M195" s="124">
        <v>206</v>
      </c>
      <c r="N195" s="95">
        <f t="shared" ref="N195:N226" si="29">+P195+Q195+R195+S195+T195</f>
        <v>407307.97</v>
      </c>
      <c r="O195" s="64">
        <v>0</v>
      </c>
      <c r="P195" s="64"/>
      <c r="Q195" s="64"/>
      <c r="R195" s="64">
        <f>+'[12]Приложение № 4'!E173</f>
        <v>407307.97</v>
      </c>
      <c r="S195" s="64"/>
      <c r="T195" s="64"/>
      <c r="U195" s="64">
        <f t="shared" si="26"/>
        <v>82.789538192609442</v>
      </c>
      <c r="V195" s="64">
        <f t="shared" si="26"/>
        <v>82.789538192609442</v>
      </c>
      <c r="W195" s="163" t="s">
        <v>495</v>
      </c>
      <c r="X195" s="156" t="e">
        <f>+N195-#REF!</f>
        <v>#REF!</v>
      </c>
      <c r="Y195" s="153">
        <v>1773919.78</v>
      </c>
      <c r="Z195" s="153">
        <f>+(K195*9.1+L195*18.19)*12</f>
        <v>537242.16</v>
      </c>
      <c r="AB195" s="156" t="e">
        <f>+N195-#REF!</f>
        <v>#REF!</v>
      </c>
      <c r="AC195" s="164">
        <f>+N195-'[12]Приложение № 4'!E173</f>
        <v>0</v>
      </c>
      <c r="AE195" s="165" t="e">
        <f>+N195-#REF!</f>
        <v>#REF!</v>
      </c>
      <c r="AG195" s="3" t="s">
        <v>236</v>
      </c>
      <c r="AH195" s="4">
        <f t="shared" si="21"/>
        <v>425412.13445904682</v>
      </c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>
        <v>401412.13445904682</v>
      </c>
      <c r="AV195" s="4">
        <v>24000</v>
      </c>
      <c r="AW195" s="4"/>
      <c r="AZ195" s="156">
        <f>+N195-'Приложение №4'!E190</f>
        <v>0</v>
      </c>
    </row>
    <row r="196" spans="1:52" ht="15" x14ac:dyDescent="0.25">
      <c r="A196" s="122">
        <f t="shared" si="22"/>
        <v>179</v>
      </c>
      <c r="B196" s="62">
        <f t="shared" si="23"/>
        <v>179</v>
      </c>
      <c r="C196" s="62" t="s">
        <v>94</v>
      </c>
      <c r="D196" s="62" t="s">
        <v>237</v>
      </c>
      <c r="E196" s="123" t="s">
        <v>115</v>
      </c>
      <c r="F196" s="123"/>
      <c r="G196" s="123" t="s">
        <v>96</v>
      </c>
      <c r="H196" s="123" t="s">
        <v>108</v>
      </c>
      <c r="I196" s="123" t="s">
        <v>105</v>
      </c>
      <c r="J196" s="64">
        <v>2706.6</v>
      </c>
      <c r="K196" s="64">
        <v>2490.1999999999998</v>
      </c>
      <c r="L196" s="64">
        <v>0</v>
      </c>
      <c r="M196" s="124">
        <v>142</v>
      </c>
      <c r="N196" s="95">
        <f t="shared" si="29"/>
        <v>349636.26</v>
      </c>
      <c r="O196" s="64">
        <v>0</v>
      </c>
      <c r="P196" s="64"/>
      <c r="Q196" s="64"/>
      <c r="R196" s="64">
        <f>+'[12]Приложение № 4'!E174</f>
        <v>349636.26</v>
      </c>
      <c r="S196" s="64"/>
      <c r="T196" s="64"/>
      <c r="U196" s="64">
        <f t="shared" si="26"/>
        <v>140.40489117339973</v>
      </c>
      <c r="V196" s="64">
        <f t="shared" si="26"/>
        <v>140.40489117339973</v>
      </c>
      <c r="W196" s="163" t="s">
        <v>495</v>
      </c>
      <c r="X196" s="156" t="e">
        <f>+N196-#REF!</f>
        <v>#REF!</v>
      </c>
      <c r="Y196" s="153">
        <v>1271710.1499999999</v>
      </c>
      <c r="Z196" s="153">
        <f t="shared" ref="Z196:Z229" si="30">+(K196*9.1+L196*18.19)*12</f>
        <v>271929.83999999997</v>
      </c>
      <c r="AB196" s="156" t="e">
        <f>+N196-#REF!</f>
        <v>#REF!</v>
      </c>
      <c r="AC196" s="164">
        <f>+N196-'[12]Приложение № 4'!E174</f>
        <v>0</v>
      </c>
      <c r="AE196" s="165" t="e">
        <f>+N196-#REF!</f>
        <v>#REF!</v>
      </c>
      <c r="AG196" s="3" t="s">
        <v>237</v>
      </c>
      <c r="AH196" s="4">
        <f t="shared" si="21"/>
        <v>604678.07720608276</v>
      </c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>
        <v>561398.10287008272</v>
      </c>
      <c r="AV196" s="4">
        <v>43279.974335999999</v>
      </c>
      <c r="AW196" s="4"/>
      <c r="AZ196" s="156">
        <f>+N196-'Приложение №4'!E191</f>
        <v>0</v>
      </c>
    </row>
    <row r="197" spans="1:52" ht="15" x14ac:dyDescent="0.25">
      <c r="A197" s="122">
        <f t="shared" si="22"/>
        <v>180</v>
      </c>
      <c r="B197" s="62">
        <f t="shared" si="23"/>
        <v>180</v>
      </c>
      <c r="C197" s="62" t="s">
        <v>94</v>
      </c>
      <c r="D197" s="62" t="s">
        <v>1177</v>
      </c>
      <c r="E197" s="123">
        <v>1987</v>
      </c>
      <c r="F197" s="123">
        <v>2009</v>
      </c>
      <c r="G197" s="123" t="s">
        <v>47</v>
      </c>
      <c r="H197" s="123">
        <v>5</v>
      </c>
      <c r="I197" s="123">
        <v>4</v>
      </c>
      <c r="J197" s="64">
        <v>4470.2</v>
      </c>
      <c r="K197" s="64">
        <v>4343</v>
      </c>
      <c r="L197" s="64">
        <v>0</v>
      </c>
      <c r="M197" s="124">
        <v>188</v>
      </c>
      <c r="N197" s="95">
        <f t="shared" si="29"/>
        <v>127875.57</v>
      </c>
      <c r="O197" s="64"/>
      <c r="P197" s="64"/>
      <c r="Q197" s="64"/>
      <c r="R197" s="64">
        <f>+'[12]Приложение № 4'!E175</f>
        <v>127875.57</v>
      </c>
      <c r="S197" s="64"/>
      <c r="T197" s="64"/>
      <c r="U197" s="64">
        <f t="shared" si="26"/>
        <v>29.444064011052269</v>
      </c>
      <c r="V197" s="64">
        <f t="shared" si="26"/>
        <v>29.444064011052269</v>
      </c>
      <c r="W197" s="163" t="s">
        <v>495</v>
      </c>
      <c r="AC197" s="164">
        <f>+N197-'[12]Приложение № 4'!E175</f>
        <v>0</v>
      </c>
      <c r="AG197" s="172" t="s">
        <v>1177</v>
      </c>
      <c r="AH197" s="4">
        <f>SUM(AI197:AW197)</f>
        <v>217981.16000000003</v>
      </c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>
        <v>212866.15000000002</v>
      </c>
      <c r="AV197" s="167">
        <v>5115.01</v>
      </c>
      <c r="AW197" s="168"/>
      <c r="AZ197" s="156">
        <f>+N197-'Приложение №4'!E192</f>
        <v>0</v>
      </c>
    </row>
    <row r="198" spans="1:52" ht="15" x14ac:dyDescent="0.25">
      <c r="A198" s="122">
        <f t="shared" si="22"/>
        <v>181</v>
      </c>
      <c r="B198" s="62">
        <f t="shared" si="23"/>
        <v>181</v>
      </c>
      <c r="C198" s="62" t="s">
        <v>94</v>
      </c>
      <c r="D198" s="62" t="s">
        <v>548</v>
      </c>
      <c r="E198" s="123">
        <v>1987</v>
      </c>
      <c r="F198" s="123">
        <v>2013</v>
      </c>
      <c r="G198" s="123" t="s">
        <v>47</v>
      </c>
      <c r="H198" s="123">
        <v>5</v>
      </c>
      <c r="I198" s="123">
        <v>6</v>
      </c>
      <c r="J198" s="64">
        <v>6859.9</v>
      </c>
      <c r="K198" s="64">
        <v>6218.4</v>
      </c>
      <c r="L198" s="64">
        <v>0</v>
      </c>
      <c r="M198" s="124">
        <v>283</v>
      </c>
      <c r="N198" s="95">
        <f t="shared" si="29"/>
        <v>149898.04999999999</v>
      </c>
      <c r="O198" s="64"/>
      <c r="P198" s="64"/>
      <c r="Q198" s="64"/>
      <c r="R198" s="64">
        <f>+'[12]Приложение № 4'!E176</f>
        <v>149898.04999999999</v>
      </c>
      <c r="S198" s="64"/>
      <c r="T198" s="64"/>
      <c r="U198" s="64">
        <f t="shared" si="26"/>
        <v>24.105565740383376</v>
      </c>
      <c r="V198" s="64">
        <f t="shared" si="26"/>
        <v>24.105565740383376</v>
      </c>
      <c r="W198" s="163" t="s">
        <v>495</v>
      </c>
      <c r="AC198" s="164">
        <f>+N198-'[12]Приложение № 4'!E176</f>
        <v>0</v>
      </c>
      <c r="AG198" s="172" t="s">
        <v>548</v>
      </c>
      <c r="AH198" s="4">
        <f>SUM(AI198:AW198)</f>
        <v>4312347.8447000002</v>
      </c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>
        <v>3962456.5102000004</v>
      </c>
      <c r="AV198" s="168">
        <v>349891.33450000006</v>
      </c>
      <c r="AW198" s="168"/>
      <c r="AZ198" s="156">
        <f>+N198-'Приложение №4'!E193</f>
        <v>0</v>
      </c>
    </row>
    <row r="199" spans="1:52" ht="15" x14ac:dyDescent="0.25">
      <c r="A199" s="122">
        <f t="shared" si="22"/>
        <v>182</v>
      </c>
      <c r="B199" s="62">
        <f t="shared" si="23"/>
        <v>182</v>
      </c>
      <c r="C199" s="62" t="s">
        <v>94</v>
      </c>
      <c r="D199" s="62" t="s">
        <v>1178</v>
      </c>
      <c r="E199" s="123">
        <v>1988</v>
      </c>
      <c r="F199" s="123">
        <v>2013</v>
      </c>
      <c r="G199" s="123" t="s">
        <v>47</v>
      </c>
      <c r="H199" s="123">
        <v>5</v>
      </c>
      <c r="I199" s="123">
        <v>6</v>
      </c>
      <c r="J199" s="64">
        <v>6818.09</v>
      </c>
      <c r="K199" s="64">
        <v>6176.59</v>
      </c>
      <c r="L199" s="64">
        <v>0</v>
      </c>
      <c r="M199" s="124">
        <v>310</v>
      </c>
      <c r="N199" s="95">
        <f t="shared" si="29"/>
        <v>137096.17000000001</v>
      </c>
      <c r="O199" s="64"/>
      <c r="P199" s="64"/>
      <c r="Q199" s="64"/>
      <c r="R199" s="64">
        <f>+'[12]Приложение № 4'!E177</f>
        <v>137096.17000000001</v>
      </c>
      <c r="S199" s="64"/>
      <c r="T199" s="64"/>
      <c r="U199" s="64">
        <f t="shared" si="26"/>
        <v>22.196093637427772</v>
      </c>
      <c r="V199" s="64">
        <f t="shared" si="26"/>
        <v>22.196093637427772</v>
      </c>
      <c r="W199" s="163" t="s">
        <v>495</v>
      </c>
      <c r="AC199" s="164">
        <f>+N199-'[12]Приложение № 4'!E177</f>
        <v>0</v>
      </c>
      <c r="AG199" s="172" t="s">
        <v>1178</v>
      </c>
      <c r="AH199" s="4">
        <f>SUM(AI199:AW199)</f>
        <v>238150.96</v>
      </c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>
        <v>232171.65</v>
      </c>
      <c r="AV199" s="167">
        <v>5979.31</v>
      </c>
      <c r="AW199" s="168"/>
      <c r="AZ199" s="156">
        <f>+N199-'Приложение №4'!E194</f>
        <v>0</v>
      </c>
    </row>
    <row r="200" spans="1:52" ht="15" x14ac:dyDescent="0.25">
      <c r="A200" s="122">
        <f t="shared" si="22"/>
        <v>183</v>
      </c>
      <c r="B200" s="62">
        <f t="shared" si="23"/>
        <v>183</v>
      </c>
      <c r="C200" s="62" t="s">
        <v>94</v>
      </c>
      <c r="D200" s="62" t="s">
        <v>531</v>
      </c>
      <c r="E200" s="123">
        <v>1973</v>
      </c>
      <c r="F200" s="123">
        <v>2017</v>
      </c>
      <c r="G200" s="123" t="s">
        <v>43</v>
      </c>
      <c r="H200" s="123">
        <v>4</v>
      </c>
      <c r="I200" s="123">
        <v>4</v>
      </c>
      <c r="J200" s="64">
        <v>2905.3</v>
      </c>
      <c r="K200" s="64">
        <v>2671.9</v>
      </c>
      <c r="L200" s="64">
        <v>0</v>
      </c>
      <c r="M200" s="124">
        <v>109</v>
      </c>
      <c r="N200" s="95">
        <f t="shared" si="29"/>
        <v>117982</v>
      </c>
      <c r="O200" s="64"/>
      <c r="P200" s="65"/>
      <c r="Q200" s="65"/>
      <c r="R200" s="64">
        <f>+'[12]Приложение № 4'!E178</f>
        <v>117982</v>
      </c>
      <c r="S200" s="65"/>
      <c r="T200" s="65"/>
      <c r="U200" s="64">
        <f t="shared" si="26"/>
        <v>44.156592686852051</v>
      </c>
      <c r="V200" s="64">
        <f t="shared" si="26"/>
        <v>44.156592686852051</v>
      </c>
      <c r="W200" s="163" t="s">
        <v>495</v>
      </c>
      <c r="X200" s="157"/>
      <c r="Y200" s="158"/>
      <c r="Z200" s="158"/>
      <c r="AA200" s="158"/>
      <c r="AC200" s="164">
        <f>+N200-'[12]Приложение № 4'!E178</f>
        <v>0</v>
      </c>
      <c r="AZ200" s="156">
        <f>+N200-'Приложение №4'!E195</f>
        <v>0</v>
      </c>
    </row>
    <row r="201" spans="1:52" ht="15" x14ac:dyDescent="0.25">
      <c r="A201" s="122">
        <f t="shared" si="22"/>
        <v>184</v>
      </c>
      <c r="B201" s="62">
        <f t="shared" si="23"/>
        <v>184</v>
      </c>
      <c r="C201" s="62" t="s">
        <v>94</v>
      </c>
      <c r="D201" s="62" t="s">
        <v>532</v>
      </c>
      <c r="E201" s="123" t="s">
        <v>104</v>
      </c>
      <c r="F201" s="123"/>
      <c r="G201" s="123" t="s">
        <v>96</v>
      </c>
      <c r="H201" s="123" t="s">
        <v>108</v>
      </c>
      <c r="I201" s="123" t="s">
        <v>98</v>
      </c>
      <c r="J201" s="64">
        <v>1732</v>
      </c>
      <c r="K201" s="64">
        <v>1451.9</v>
      </c>
      <c r="L201" s="64">
        <v>0</v>
      </c>
      <c r="M201" s="124">
        <v>71</v>
      </c>
      <c r="N201" s="95">
        <f t="shared" si="29"/>
        <v>109894.5</v>
      </c>
      <c r="O201" s="64"/>
      <c r="P201" s="65"/>
      <c r="Q201" s="65"/>
      <c r="R201" s="64">
        <f>+'[12]Приложение № 4'!E179</f>
        <v>109894.5</v>
      </c>
      <c r="S201" s="65"/>
      <c r="T201" s="65"/>
      <c r="U201" s="64">
        <f t="shared" si="26"/>
        <v>75.690130174254421</v>
      </c>
      <c r="V201" s="64">
        <f t="shared" si="26"/>
        <v>75.690130174254421</v>
      </c>
      <c r="W201" s="163" t="s">
        <v>495</v>
      </c>
      <c r="X201" s="157"/>
      <c r="Y201" s="158"/>
      <c r="Z201" s="158"/>
      <c r="AA201" s="158"/>
      <c r="AC201" s="164">
        <f>+N201-'[12]Приложение № 4'!E179</f>
        <v>0</v>
      </c>
      <c r="AZ201" s="156">
        <f>+N201-'Приложение №4'!E196</f>
        <v>0</v>
      </c>
    </row>
    <row r="202" spans="1:52" ht="15" x14ac:dyDescent="0.25">
      <c r="A202" s="122">
        <f t="shared" si="22"/>
        <v>185</v>
      </c>
      <c r="B202" s="62">
        <f t="shared" si="23"/>
        <v>185</v>
      </c>
      <c r="C202" s="62" t="s">
        <v>52</v>
      </c>
      <c r="D202" s="62" t="s">
        <v>549</v>
      </c>
      <c r="E202" s="123">
        <v>1970</v>
      </c>
      <c r="F202" s="123">
        <v>1970</v>
      </c>
      <c r="G202" s="123" t="s">
        <v>48</v>
      </c>
      <c r="H202" s="123">
        <v>2</v>
      </c>
      <c r="I202" s="123">
        <v>2</v>
      </c>
      <c r="J202" s="64">
        <v>429.2</v>
      </c>
      <c r="K202" s="64">
        <v>386.5</v>
      </c>
      <c r="L202" s="64">
        <v>0</v>
      </c>
      <c r="M202" s="124">
        <v>24</v>
      </c>
      <c r="N202" s="95">
        <f t="shared" si="29"/>
        <v>51713.97</v>
      </c>
      <c r="O202" s="64"/>
      <c r="P202" s="65"/>
      <c r="Q202" s="65"/>
      <c r="R202" s="64">
        <f>+'[12]Приложение № 4'!E180</f>
        <v>51713.97</v>
      </c>
      <c r="S202" s="65"/>
      <c r="T202" s="65"/>
      <c r="U202" s="64">
        <f t="shared" si="26"/>
        <v>133.80069857697285</v>
      </c>
      <c r="V202" s="64">
        <f t="shared" si="26"/>
        <v>133.80069857697285</v>
      </c>
      <c r="W202" s="163" t="s">
        <v>495</v>
      </c>
      <c r="X202" s="157"/>
      <c r="Y202" s="158"/>
      <c r="Z202" s="158"/>
      <c r="AA202" s="158"/>
      <c r="AC202" s="164">
        <f>+N202-'[12]Приложение № 4'!E180</f>
        <v>0</v>
      </c>
      <c r="AZ202" s="156">
        <f>+N202-'Приложение №4'!E197</f>
        <v>0</v>
      </c>
    </row>
    <row r="203" spans="1:52" ht="15" x14ac:dyDescent="0.25">
      <c r="A203" s="122">
        <f t="shared" si="22"/>
        <v>186</v>
      </c>
      <c r="B203" s="62">
        <f t="shared" si="23"/>
        <v>186</v>
      </c>
      <c r="C203" s="62" t="s">
        <v>52</v>
      </c>
      <c r="D203" s="62" t="s">
        <v>550</v>
      </c>
      <c r="E203" s="123">
        <v>1968</v>
      </c>
      <c r="F203" s="123">
        <v>1968</v>
      </c>
      <c r="G203" s="123" t="s">
        <v>48</v>
      </c>
      <c r="H203" s="123">
        <v>2</v>
      </c>
      <c r="I203" s="123">
        <v>2</v>
      </c>
      <c r="J203" s="64">
        <v>421.8</v>
      </c>
      <c r="K203" s="64">
        <v>377.5</v>
      </c>
      <c r="L203" s="64">
        <v>0</v>
      </c>
      <c r="M203" s="124">
        <v>20</v>
      </c>
      <c r="N203" s="95">
        <f t="shared" si="29"/>
        <v>27618.76</v>
      </c>
      <c r="O203" s="64"/>
      <c r="P203" s="65"/>
      <c r="Q203" s="65"/>
      <c r="R203" s="64">
        <f>+'[12]Приложение № 4'!E181</f>
        <v>27618.76</v>
      </c>
      <c r="S203" s="65"/>
      <c r="T203" s="65"/>
      <c r="U203" s="64">
        <f t="shared" si="26"/>
        <v>73.162278145695353</v>
      </c>
      <c r="V203" s="64">
        <f t="shared" si="26"/>
        <v>73.162278145695353</v>
      </c>
      <c r="W203" s="163" t="s">
        <v>495</v>
      </c>
      <c r="X203" s="157"/>
      <c r="Y203" s="158"/>
      <c r="Z203" s="158"/>
      <c r="AA203" s="158"/>
      <c r="AC203" s="164">
        <f>+N203-'[12]Приложение № 4'!E181</f>
        <v>0</v>
      </c>
      <c r="AZ203" s="156">
        <f>+N203-'Приложение №4'!E198</f>
        <v>0</v>
      </c>
    </row>
    <row r="204" spans="1:52" ht="15" x14ac:dyDescent="0.25">
      <c r="A204" s="122">
        <f t="shared" si="22"/>
        <v>187</v>
      </c>
      <c r="B204" s="62">
        <f t="shared" si="23"/>
        <v>187</v>
      </c>
      <c r="C204" s="62" t="s">
        <v>52</v>
      </c>
      <c r="D204" s="62" t="s">
        <v>551</v>
      </c>
      <c r="E204" s="123">
        <v>1962</v>
      </c>
      <c r="F204" s="123">
        <v>1962</v>
      </c>
      <c r="G204" s="123" t="s">
        <v>48</v>
      </c>
      <c r="H204" s="123">
        <v>2</v>
      </c>
      <c r="I204" s="123">
        <v>2</v>
      </c>
      <c r="J204" s="64">
        <v>575.70000000000005</v>
      </c>
      <c r="K204" s="64">
        <v>527.79999999999995</v>
      </c>
      <c r="L204" s="64">
        <v>0</v>
      </c>
      <c r="M204" s="124">
        <v>38</v>
      </c>
      <c r="N204" s="95">
        <f t="shared" si="29"/>
        <v>54759.17</v>
      </c>
      <c r="O204" s="64"/>
      <c r="P204" s="65"/>
      <c r="Q204" s="65"/>
      <c r="R204" s="64">
        <f>+'[12]Приложение № 4'!E182</f>
        <v>54759.17</v>
      </c>
      <c r="S204" s="65"/>
      <c r="T204" s="65"/>
      <c r="U204" s="64">
        <f t="shared" si="26"/>
        <v>103.74984842743464</v>
      </c>
      <c r="V204" s="64">
        <f t="shared" si="26"/>
        <v>103.74984842743464</v>
      </c>
      <c r="W204" s="163" t="s">
        <v>495</v>
      </c>
      <c r="X204" s="157"/>
      <c r="Y204" s="158"/>
      <c r="Z204" s="158"/>
      <c r="AA204" s="158"/>
      <c r="AC204" s="164">
        <f>+N204-'[12]Приложение № 4'!E182</f>
        <v>0</v>
      </c>
      <c r="AZ204" s="156">
        <f>+N204-'Приложение №4'!E199</f>
        <v>0</v>
      </c>
    </row>
    <row r="205" spans="1:52" ht="15" x14ac:dyDescent="0.25">
      <c r="A205" s="122">
        <f t="shared" si="22"/>
        <v>188</v>
      </c>
      <c r="B205" s="62">
        <f t="shared" si="23"/>
        <v>188</v>
      </c>
      <c r="C205" s="62" t="s">
        <v>52</v>
      </c>
      <c r="D205" s="62" t="s">
        <v>552</v>
      </c>
      <c r="E205" s="123">
        <v>1965</v>
      </c>
      <c r="F205" s="123">
        <v>1965</v>
      </c>
      <c r="G205" s="123" t="s">
        <v>48</v>
      </c>
      <c r="H205" s="123">
        <v>2</v>
      </c>
      <c r="I205" s="123">
        <v>2</v>
      </c>
      <c r="J205" s="64">
        <v>568.79999999999995</v>
      </c>
      <c r="K205" s="64">
        <v>521.79999999999995</v>
      </c>
      <c r="L205" s="64">
        <v>0</v>
      </c>
      <c r="M205" s="124">
        <v>38</v>
      </c>
      <c r="N205" s="95">
        <f t="shared" si="29"/>
        <v>54727.43</v>
      </c>
      <c r="O205" s="64"/>
      <c r="P205" s="65"/>
      <c r="Q205" s="65"/>
      <c r="R205" s="64">
        <f>+'[12]Приложение № 4'!E183</f>
        <v>54727.43</v>
      </c>
      <c r="S205" s="65"/>
      <c r="T205" s="65"/>
      <c r="U205" s="64">
        <f t="shared" si="26"/>
        <v>104.8820045994634</v>
      </c>
      <c r="V205" s="64">
        <f t="shared" si="26"/>
        <v>104.8820045994634</v>
      </c>
      <c r="W205" s="163" t="s">
        <v>495</v>
      </c>
      <c r="X205" s="157"/>
      <c r="Y205" s="158"/>
      <c r="Z205" s="158"/>
      <c r="AA205" s="158"/>
      <c r="AC205" s="164">
        <f>+N205-'[12]Приложение № 4'!E183</f>
        <v>0</v>
      </c>
      <c r="AZ205" s="156">
        <f>+N205-'Приложение №4'!E200</f>
        <v>0</v>
      </c>
    </row>
    <row r="206" spans="1:52" ht="15" x14ac:dyDescent="0.25">
      <c r="A206" s="122">
        <f t="shared" si="22"/>
        <v>189</v>
      </c>
      <c r="B206" s="62">
        <f t="shared" si="23"/>
        <v>189</v>
      </c>
      <c r="C206" s="62" t="s">
        <v>94</v>
      </c>
      <c r="D206" s="62" t="s">
        <v>553</v>
      </c>
      <c r="E206" s="123">
        <v>1983</v>
      </c>
      <c r="F206" s="123">
        <v>2013</v>
      </c>
      <c r="G206" s="123" t="s">
        <v>47</v>
      </c>
      <c r="H206" s="123">
        <v>5</v>
      </c>
      <c r="I206" s="123">
        <v>6</v>
      </c>
      <c r="J206" s="64">
        <v>7108.5</v>
      </c>
      <c r="K206" s="64">
        <v>6229</v>
      </c>
      <c r="L206" s="64">
        <v>0</v>
      </c>
      <c r="M206" s="124">
        <v>277</v>
      </c>
      <c r="N206" s="95">
        <f t="shared" si="29"/>
        <v>136538.59</v>
      </c>
      <c r="O206" s="64"/>
      <c r="P206" s="64"/>
      <c r="Q206" s="64"/>
      <c r="R206" s="64">
        <f>+'[12]Приложение № 4'!E184</f>
        <v>136538.59</v>
      </c>
      <c r="S206" s="64"/>
      <c r="T206" s="64"/>
      <c r="U206" s="64">
        <f t="shared" si="26"/>
        <v>21.919825012040455</v>
      </c>
      <c r="V206" s="64">
        <f t="shared" si="26"/>
        <v>21.919825012040455</v>
      </c>
      <c r="W206" s="163" t="s">
        <v>495</v>
      </c>
      <c r="AC206" s="164">
        <f>+N206-'[12]Приложение № 4'!E184</f>
        <v>0</v>
      </c>
      <c r="AG206" s="172" t="s">
        <v>553</v>
      </c>
      <c r="AH206" s="4">
        <f t="shared" ref="AH206:AH212" si="31">SUM(AI206:AW206)</f>
        <v>118553.48999999999</v>
      </c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>
        <v>112538.59</v>
      </c>
      <c r="AV206" s="167">
        <v>6014.9</v>
      </c>
      <c r="AW206" s="168"/>
      <c r="AZ206" s="156">
        <f>+N206-'Приложение №4'!E201</f>
        <v>0</v>
      </c>
    </row>
    <row r="207" spans="1:52" ht="15" x14ac:dyDescent="0.25">
      <c r="A207" s="122">
        <f t="shared" si="22"/>
        <v>190</v>
      </c>
      <c r="B207" s="62">
        <f t="shared" si="23"/>
        <v>190</v>
      </c>
      <c r="C207" s="62" t="s">
        <v>94</v>
      </c>
      <c r="D207" s="62" t="s">
        <v>1179</v>
      </c>
      <c r="E207" s="123">
        <v>1994</v>
      </c>
      <c r="F207" s="123">
        <v>2013</v>
      </c>
      <c r="G207" s="123" t="s">
        <v>43</v>
      </c>
      <c r="H207" s="123">
        <v>5</v>
      </c>
      <c r="I207" s="123">
        <v>5</v>
      </c>
      <c r="J207" s="64">
        <v>4604</v>
      </c>
      <c r="K207" s="64">
        <v>4062.5</v>
      </c>
      <c r="L207" s="64">
        <v>0</v>
      </c>
      <c r="M207" s="124">
        <v>44</v>
      </c>
      <c r="N207" s="95">
        <f t="shared" si="29"/>
        <v>113183.56</v>
      </c>
      <c r="O207" s="64"/>
      <c r="P207" s="64"/>
      <c r="Q207" s="64"/>
      <c r="R207" s="64">
        <f>+'[12]Приложение № 4'!E185</f>
        <v>113183.56</v>
      </c>
      <c r="S207" s="64"/>
      <c r="T207" s="64"/>
      <c r="U207" s="64">
        <f t="shared" si="26"/>
        <v>27.860568615384615</v>
      </c>
      <c r="V207" s="64">
        <f t="shared" si="26"/>
        <v>27.860568615384615</v>
      </c>
      <c r="W207" s="163" t="s">
        <v>495</v>
      </c>
      <c r="AC207" s="164">
        <f>+N207-'[12]Приложение № 4'!E185</f>
        <v>0</v>
      </c>
      <c r="AG207" s="172" t="s">
        <v>1179</v>
      </c>
      <c r="AH207" s="4">
        <f t="shared" si="31"/>
        <v>94529.05</v>
      </c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>
        <v>89183.56</v>
      </c>
      <c r="AV207" s="167">
        <v>5345.49</v>
      </c>
      <c r="AW207" s="168"/>
      <c r="AZ207" s="156">
        <f>+N207-'Приложение №4'!E202</f>
        <v>0</v>
      </c>
    </row>
    <row r="208" spans="1:52" ht="15" x14ac:dyDescent="0.25">
      <c r="A208" s="122">
        <f t="shared" si="22"/>
        <v>191</v>
      </c>
      <c r="B208" s="62">
        <f t="shared" si="23"/>
        <v>191</v>
      </c>
      <c r="C208" s="62" t="s">
        <v>94</v>
      </c>
      <c r="D208" s="62" t="s">
        <v>554</v>
      </c>
      <c r="E208" s="123">
        <v>1992</v>
      </c>
      <c r="F208" s="123">
        <v>2013</v>
      </c>
      <c r="G208" s="123" t="s">
        <v>43</v>
      </c>
      <c r="H208" s="123">
        <v>4</v>
      </c>
      <c r="I208" s="123">
        <v>2</v>
      </c>
      <c r="J208" s="64">
        <v>2227.3000000000002</v>
      </c>
      <c r="K208" s="64">
        <v>2007.5</v>
      </c>
      <c r="L208" s="64">
        <v>0</v>
      </c>
      <c r="M208" s="124">
        <v>87</v>
      </c>
      <c r="N208" s="95">
        <f t="shared" si="29"/>
        <v>93857</v>
      </c>
      <c r="O208" s="64"/>
      <c r="P208" s="64"/>
      <c r="Q208" s="64"/>
      <c r="R208" s="64">
        <f>+'[12]Приложение № 4'!E186</f>
        <v>93857</v>
      </c>
      <c r="S208" s="64"/>
      <c r="T208" s="64"/>
      <c r="U208" s="64">
        <f t="shared" si="26"/>
        <v>46.753175591531758</v>
      </c>
      <c r="V208" s="64">
        <f t="shared" si="26"/>
        <v>46.753175591531758</v>
      </c>
      <c r="W208" s="163" t="s">
        <v>495</v>
      </c>
      <c r="AC208" s="164">
        <f>+N208-'[12]Приложение № 4'!E186</f>
        <v>0</v>
      </c>
      <c r="AG208" s="172" t="s">
        <v>554</v>
      </c>
      <c r="AH208" s="4">
        <f t="shared" si="31"/>
        <v>75941.47</v>
      </c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>
        <v>69857</v>
      </c>
      <c r="AV208" s="167">
        <v>6084.47</v>
      </c>
      <c r="AW208" s="168"/>
      <c r="AZ208" s="156">
        <f>+N208-'Приложение №4'!E203</f>
        <v>0</v>
      </c>
    </row>
    <row r="209" spans="1:52" ht="15" x14ac:dyDescent="0.25">
      <c r="A209" s="122">
        <f t="shared" si="22"/>
        <v>192</v>
      </c>
      <c r="B209" s="62">
        <f t="shared" si="23"/>
        <v>192</v>
      </c>
      <c r="C209" s="62" t="s">
        <v>94</v>
      </c>
      <c r="D209" s="62" t="s">
        <v>555</v>
      </c>
      <c r="E209" s="123">
        <v>1972</v>
      </c>
      <c r="F209" s="123">
        <v>2013</v>
      </c>
      <c r="G209" s="123" t="s">
        <v>43</v>
      </c>
      <c r="H209" s="123">
        <v>5</v>
      </c>
      <c r="I209" s="123">
        <v>4</v>
      </c>
      <c r="J209" s="64">
        <v>2737.2</v>
      </c>
      <c r="K209" s="64">
        <v>2492.8000000000002</v>
      </c>
      <c r="L209" s="64">
        <v>0</v>
      </c>
      <c r="M209" s="124">
        <v>112</v>
      </c>
      <c r="N209" s="95">
        <f t="shared" si="29"/>
        <v>120164.31</v>
      </c>
      <c r="O209" s="64"/>
      <c r="P209" s="64"/>
      <c r="Q209" s="64"/>
      <c r="R209" s="64">
        <f>+'[12]Приложение № 4'!E187</f>
        <v>120164.31</v>
      </c>
      <c r="S209" s="64"/>
      <c r="T209" s="64"/>
      <c r="U209" s="64">
        <f t="shared" si="26"/>
        <v>48.204553112965336</v>
      </c>
      <c r="V209" s="64">
        <f t="shared" si="26"/>
        <v>48.204553112965336</v>
      </c>
      <c r="W209" s="163" t="s">
        <v>495</v>
      </c>
      <c r="AC209" s="164">
        <f>+N209-'[12]Приложение № 4'!E187</f>
        <v>0</v>
      </c>
      <c r="AG209" s="172" t="s">
        <v>555</v>
      </c>
      <c r="AH209" s="4">
        <f t="shared" si="31"/>
        <v>100927.36</v>
      </c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>
        <v>96164.31</v>
      </c>
      <c r="AV209" s="167">
        <v>4763.05</v>
      </c>
      <c r="AW209" s="168"/>
      <c r="AZ209" s="156">
        <f>+N209-'Приложение №4'!E204</f>
        <v>0</v>
      </c>
    </row>
    <row r="210" spans="1:52" ht="15" x14ac:dyDescent="0.25">
      <c r="A210" s="122">
        <f t="shared" si="22"/>
        <v>193</v>
      </c>
      <c r="B210" s="62">
        <f t="shared" si="23"/>
        <v>193</v>
      </c>
      <c r="C210" s="62" t="s">
        <v>94</v>
      </c>
      <c r="D210" s="62" t="s">
        <v>1180</v>
      </c>
      <c r="E210" s="123">
        <v>1978</v>
      </c>
      <c r="F210" s="123">
        <v>2013</v>
      </c>
      <c r="G210" s="123" t="s">
        <v>43</v>
      </c>
      <c r="H210" s="123">
        <v>4</v>
      </c>
      <c r="I210" s="123">
        <v>4</v>
      </c>
      <c r="J210" s="64">
        <v>2859.8</v>
      </c>
      <c r="K210" s="64">
        <v>2625.6</v>
      </c>
      <c r="L210" s="64">
        <v>0</v>
      </c>
      <c r="M210" s="124">
        <v>118</v>
      </c>
      <c r="N210" s="95">
        <f t="shared" si="29"/>
        <v>97271.89</v>
      </c>
      <c r="O210" s="64"/>
      <c r="P210" s="64"/>
      <c r="Q210" s="64"/>
      <c r="R210" s="64">
        <f>+'[12]Приложение № 4'!E188</f>
        <v>97271.89</v>
      </c>
      <c r="S210" s="64"/>
      <c r="T210" s="64"/>
      <c r="U210" s="64">
        <f t="shared" si="26"/>
        <v>37.047490097501523</v>
      </c>
      <c r="V210" s="64">
        <f t="shared" si="26"/>
        <v>37.047490097501523</v>
      </c>
      <c r="W210" s="163" t="s">
        <v>495</v>
      </c>
      <c r="AC210" s="164">
        <f>+N210-'[12]Приложение № 4'!E188</f>
        <v>0</v>
      </c>
      <c r="AG210" s="172" t="s">
        <v>1180</v>
      </c>
      <c r="AH210" s="4">
        <f t="shared" si="31"/>
        <v>78255.62</v>
      </c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>
        <v>73281.789999999994</v>
      </c>
      <c r="AV210" s="167">
        <v>4973.83</v>
      </c>
      <c r="AW210" s="168"/>
      <c r="AZ210" s="156">
        <f>+N210-'Приложение №4'!E205</f>
        <v>0</v>
      </c>
    </row>
    <row r="211" spans="1:52" ht="15" x14ac:dyDescent="0.25">
      <c r="A211" s="122">
        <f t="shared" si="22"/>
        <v>194</v>
      </c>
      <c r="B211" s="62">
        <f t="shared" si="23"/>
        <v>194</v>
      </c>
      <c r="C211" s="62" t="s">
        <v>94</v>
      </c>
      <c r="D211" s="62" t="s">
        <v>1181</v>
      </c>
      <c r="E211" s="123">
        <v>1981</v>
      </c>
      <c r="F211" s="123">
        <v>2013</v>
      </c>
      <c r="G211" s="123" t="s">
        <v>47</v>
      </c>
      <c r="H211" s="123">
        <v>5</v>
      </c>
      <c r="I211" s="123">
        <v>6</v>
      </c>
      <c r="J211" s="64">
        <v>7089.2</v>
      </c>
      <c r="K211" s="64">
        <v>6225.8</v>
      </c>
      <c r="L211" s="64">
        <v>0</v>
      </c>
      <c r="M211" s="124">
        <v>280</v>
      </c>
      <c r="N211" s="95">
        <f t="shared" si="29"/>
        <v>143204.79999999999</v>
      </c>
      <c r="O211" s="64"/>
      <c r="P211" s="64"/>
      <c r="Q211" s="64"/>
      <c r="R211" s="64">
        <f>+'[12]Приложение № 4'!E189</f>
        <v>143204.79999999999</v>
      </c>
      <c r="S211" s="64"/>
      <c r="T211" s="64"/>
      <c r="U211" s="64">
        <f t="shared" si="26"/>
        <v>23.001831089980403</v>
      </c>
      <c r="V211" s="64">
        <f t="shared" si="26"/>
        <v>23.001831089980403</v>
      </c>
      <c r="W211" s="163" t="s">
        <v>495</v>
      </c>
      <c r="AC211" s="164">
        <f>+N211-'[12]Приложение № 4'!E189</f>
        <v>0</v>
      </c>
      <c r="AG211" s="172" t="s">
        <v>1181</v>
      </c>
      <c r="AH211" s="4">
        <f t="shared" si="31"/>
        <v>125220.59</v>
      </c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>
        <v>119204.8</v>
      </c>
      <c r="AV211" s="167">
        <v>6015.79</v>
      </c>
      <c r="AW211" s="168"/>
      <c r="AZ211" s="156">
        <f>+N211-'Приложение №4'!E206</f>
        <v>0</v>
      </c>
    </row>
    <row r="212" spans="1:52" ht="15" x14ac:dyDescent="0.25">
      <c r="A212" s="122">
        <f t="shared" ref="A212:A275" si="32">+A211+1</f>
        <v>195</v>
      </c>
      <c r="B212" s="62">
        <f t="shared" ref="B212:B275" si="33">+B211+1</f>
        <v>195</v>
      </c>
      <c r="C212" s="62" t="s">
        <v>94</v>
      </c>
      <c r="D212" s="62" t="s">
        <v>1088</v>
      </c>
      <c r="E212" s="123">
        <v>1988</v>
      </c>
      <c r="F212" s="123">
        <v>2013</v>
      </c>
      <c r="G212" s="123" t="s">
        <v>43</v>
      </c>
      <c r="H212" s="123">
        <v>3</v>
      </c>
      <c r="I212" s="123">
        <v>3</v>
      </c>
      <c r="J212" s="64">
        <v>1440</v>
      </c>
      <c r="K212" s="64">
        <v>1357.8</v>
      </c>
      <c r="L212" s="64">
        <v>0</v>
      </c>
      <c r="M212" s="124">
        <v>54</v>
      </c>
      <c r="N212" s="95">
        <f t="shared" si="29"/>
        <v>196639.44278931766</v>
      </c>
      <c r="O212" s="64"/>
      <c r="P212" s="64"/>
      <c r="Q212" s="64"/>
      <c r="R212" s="64">
        <f>+'Приложение №4'!E207</f>
        <v>196639.44278931766</v>
      </c>
      <c r="S212" s="64"/>
      <c r="T212" s="64"/>
      <c r="U212" s="64">
        <f t="shared" si="26"/>
        <v>144.82209661902905</v>
      </c>
      <c r="V212" s="64">
        <f t="shared" si="26"/>
        <v>144.82209661902905</v>
      </c>
      <c r="W212" s="163" t="s">
        <v>495</v>
      </c>
      <c r="AC212" s="164">
        <f>+N212-'[12]Приложение № 4'!E190</f>
        <v>144037.21278931765</v>
      </c>
      <c r="AG212" s="172" t="s">
        <v>1088</v>
      </c>
      <c r="AH212" s="4">
        <f t="shared" si="31"/>
        <v>273170.31</v>
      </c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>
        <v>225241.67</v>
      </c>
      <c r="AV212" s="167">
        <v>47928.639999999999</v>
      </c>
      <c r="AW212" s="168"/>
      <c r="AZ212" s="156">
        <f>+N212-'Приложение №4'!E207</f>
        <v>0</v>
      </c>
    </row>
    <row r="213" spans="1:52" ht="15" x14ac:dyDescent="0.25">
      <c r="A213" s="122">
        <f t="shared" si="32"/>
        <v>196</v>
      </c>
      <c r="B213" s="62">
        <f t="shared" si="33"/>
        <v>196</v>
      </c>
      <c r="C213" s="62" t="s">
        <v>94</v>
      </c>
      <c r="D213" s="62" t="s">
        <v>238</v>
      </c>
      <c r="E213" s="123" t="s">
        <v>116</v>
      </c>
      <c r="F213" s="123"/>
      <c r="G213" s="123" t="s">
        <v>99</v>
      </c>
      <c r="H213" s="123" t="s">
        <v>105</v>
      </c>
      <c r="I213" s="123" t="s">
        <v>105</v>
      </c>
      <c r="J213" s="64">
        <v>3935.6</v>
      </c>
      <c r="K213" s="64">
        <v>3447.4</v>
      </c>
      <c r="L213" s="64">
        <v>0</v>
      </c>
      <c r="M213" s="124">
        <v>162</v>
      </c>
      <c r="N213" s="95">
        <f t="shared" si="29"/>
        <v>759551.38000000012</v>
      </c>
      <c r="O213" s="64">
        <v>0</v>
      </c>
      <c r="P213" s="64"/>
      <c r="Q213" s="64"/>
      <c r="R213" s="64">
        <f>+'[12]Приложение № 4'!E191</f>
        <v>759551.38000000012</v>
      </c>
      <c r="S213" s="64"/>
      <c r="T213" s="64"/>
      <c r="U213" s="64">
        <f t="shared" si="26"/>
        <v>220.32586296919419</v>
      </c>
      <c r="V213" s="64">
        <f t="shared" si="26"/>
        <v>220.32586296919419</v>
      </c>
      <c r="W213" s="163" t="s">
        <v>495</v>
      </c>
      <c r="X213" s="156" t="e">
        <f>+N213-#REF!</f>
        <v>#REF!</v>
      </c>
      <c r="Y213" s="153">
        <v>1318896.72</v>
      </c>
      <c r="Z213" s="153">
        <f t="shared" si="30"/>
        <v>376456.08</v>
      </c>
      <c r="AB213" s="156" t="e">
        <f>+N213-#REF!</f>
        <v>#REF!</v>
      </c>
      <c r="AC213" s="164">
        <f>+N213-'[12]Приложение № 4'!E191</f>
        <v>0</v>
      </c>
      <c r="AE213" s="165" t="e">
        <f>+N213-#REF!</f>
        <v>#REF!</v>
      </c>
      <c r="AG213" s="3" t="s">
        <v>238</v>
      </c>
      <c r="AH213" s="4">
        <f t="shared" si="21"/>
        <v>763427.38749282132</v>
      </c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>
        <v>717814.65204642131</v>
      </c>
      <c r="AV213" s="4">
        <v>45612.735446399995</v>
      </c>
      <c r="AW213" s="4"/>
      <c r="AZ213" s="156">
        <f>+N213-'Приложение №4'!E208</f>
        <v>0</v>
      </c>
    </row>
    <row r="214" spans="1:52" ht="15" x14ac:dyDescent="0.25">
      <c r="A214" s="122">
        <f t="shared" si="32"/>
        <v>197</v>
      </c>
      <c r="B214" s="62">
        <f t="shared" si="33"/>
        <v>197</v>
      </c>
      <c r="C214" s="62" t="s">
        <v>94</v>
      </c>
      <c r="D214" s="62" t="s">
        <v>1182</v>
      </c>
      <c r="E214" s="123">
        <v>1994</v>
      </c>
      <c r="F214" s="123">
        <v>2012</v>
      </c>
      <c r="G214" s="123" t="s">
        <v>43</v>
      </c>
      <c r="H214" s="123">
        <v>6</v>
      </c>
      <c r="I214" s="123">
        <v>2</v>
      </c>
      <c r="J214" s="64">
        <v>3053.6</v>
      </c>
      <c r="K214" s="64">
        <v>2680.5</v>
      </c>
      <c r="L214" s="64">
        <v>0</v>
      </c>
      <c r="M214" s="124">
        <v>97</v>
      </c>
      <c r="N214" s="95">
        <f>+P214+Q214+R214+S214+T214</f>
        <v>158663.30000000002</v>
      </c>
      <c r="O214" s="64"/>
      <c r="P214" s="64"/>
      <c r="Q214" s="64"/>
      <c r="R214" s="64">
        <f>+'[12]Приложение № 4'!E192</f>
        <v>158663.30000000002</v>
      </c>
      <c r="S214" s="64"/>
      <c r="T214" s="64"/>
      <c r="U214" s="64">
        <f t="shared" si="26"/>
        <v>59.191680656593924</v>
      </c>
      <c r="V214" s="64">
        <f t="shared" si="26"/>
        <v>59.191680656593924</v>
      </c>
      <c r="W214" s="163" t="s">
        <v>495</v>
      </c>
      <c r="AC214" s="164">
        <f>+N214-'[12]Приложение № 4'!E192</f>
        <v>0</v>
      </c>
      <c r="AG214" s="172" t="s">
        <v>1182</v>
      </c>
      <c r="AH214" s="4">
        <f>SUM(AI214:AW214)</f>
        <v>139057.34999999998</v>
      </c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>
        <v>134663.29999999999</v>
      </c>
      <c r="AV214" s="167">
        <v>4394.05</v>
      </c>
      <c r="AW214" s="168"/>
      <c r="AZ214" s="156">
        <f>+N214-'Приложение №4'!E209</f>
        <v>0</v>
      </c>
    </row>
    <row r="215" spans="1:52" ht="15" x14ac:dyDescent="0.25">
      <c r="A215" s="122">
        <f t="shared" si="32"/>
        <v>198</v>
      </c>
      <c r="B215" s="62">
        <f t="shared" si="33"/>
        <v>198</v>
      </c>
      <c r="C215" s="62" t="s">
        <v>94</v>
      </c>
      <c r="D215" s="62" t="s">
        <v>556</v>
      </c>
      <c r="E215" s="123">
        <v>1994</v>
      </c>
      <c r="F215" s="123">
        <v>2013</v>
      </c>
      <c r="G215" s="123" t="s">
        <v>43</v>
      </c>
      <c r="H215" s="123">
        <v>5</v>
      </c>
      <c r="I215" s="123">
        <v>2</v>
      </c>
      <c r="J215" s="64">
        <v>2375.9</v>
      </c>
      <c r="K215" s="64">
        <v>2217.9</v>
      </c>
      <c r="L215" s="64">
        <v>0</v>
      </c>
      <c r="M215" s="124">
        <v>105</v>
      </c>
      <c r="N215" s="95">
        <f>+P215+Q215+R215+S215+T215</f>
        <v>90391.22</v>
      </c>
      <c r="O215" s="64"/>
      <c r="P215" s="64"/>
      <c r="Q215" s="64"/>
      <c r="R215" s="64">
        <f>+'[12]Приложение № 4'!E193</f>
        <v>90391.22</v>
      </c>
      <c r="S215" s="64"/>
      <c r="T215" s="64"/>
      <c r="U215" s="64">
        <f t="shared" si="26"/>
        <v>40.755318093692232</v>
      </c>
      <c r="V215" s="64">
        <f t="shared" si="26"/>
        <v>40.755318093692232</v>
      </c>
      <c r="W215" s="163" t="s">
        <v>495</v>
      </c>
      <c r="AC215" s="164">
        <f>+N215-'[12]Приложение № 4'!E193</f>
        <v>0</v>
      </c>
      <c r="AG215" s="172" t="s">
        <v>556</v>
      </c>
      <c r="AH215" s="4">
        <f>SUM(AI215:AW215)</f>
        <v>95011.27</v>
      </c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>
        <v>90391.22</v>
      </c>
      <c r="AV215" s="167">
        <v>4620.05</v>
      </c>
      <c r="AW215" s="168"/>
      <c r="AZ215" s="156">
        <f>+N215-'Приложение №4'!E210</f>
        <v>0</v>
      </c>
    </row>
    <row r="216" spans="1:52" ht="15" x14ac:dyDescent="0.25">
      <c r="A216" s="122">
        <f t="shared" si="32"/>
        <v>199</v>
      </c>
      <c r="B216" s="62">
        <f t="shared" si="33"/>
        <v>199</v>
      </c>
      <c r="C216" s="62" t="s">
        <v>94</v>
      </c>
      <c r="D216" s="62" t="s">
        <v>239</v>
      </c>
      <c r="E216" s="123" t="s">
        <v>139</v>
      </c>
      <c r="F216" s="123"/>
      <c r="G216" s="123" t="s">
        <v>96</v>
      </c>
      <c r="H216" s="123" t="s">
        <v>105</v>
      </c>
      <c r="I216" s="123" t="s">
        <v>98</v>
      </c>
      <c r="J216" s="64">
        <v>1804.7</v>
      </c>
      <c r="K216" s="64">
        <v>1573.9</v>
      </c>
      <c r="L216" s="64">
        <v>0</v>
      </c>
      <c r="M216" s="124">
        <v>69</v>
      </c>
      <c r="N216" s="95">
        <f t="shared" si="29"/>
        <v>165401.01999999999</v>
      </c>
      <c r="O216" s="64">
        <v>0</v>
      </c>
      <c r="P216" s="64"/>
      <c r="Q216" s="64"/>
      <c r="R216" s="64">
        <f>+'[12]Приложение № 4'!E194</f>
        <v>165401.01999999999</v>
      </c>
      <c r="S216" s="64"/>
      <c r="T216" s="64"/>
      <c r="U216" s="64">
        <f t="shared" si="26"/>
        <v>105.08991676726602</v>
      </c>
      <c r="V216" s="64">
        <f t="shared" si="26"/>
        <v>105.08991676726602</v>
      </c>
      <c r="W216" s="163" t="s">
        <v>495</v>
      </c>
      <c r="X216" s="156" t="e">
        <f>+N216-#REF!</f>
        <v>#REF!</v>
      </c>
      <c r="Y216" s="153">
        <v>573329.72</v>
      </c>
      <c r="Z216" s="153">
        <f t="shared" si="30"/>
        <v>171869.88</v>
      </c>
      <c r="AB216" s="156" t="e">
        <f>+N216-#REF!</f>
        <v>#REF!</v>
      </c>
      <c r="AC216" s="164">
        <f>+N216-'[12]Приложение № 4'!E194</f>
        <v>0</v>
      </c>
      <c r="AE216" s="165" t="e">
        <f>+N216-#REF!</f>
        <v>#REF!</v>
      </c>
      <c r="AG216" s="3" t="s">
        <v>239</v>
      </c>
      <c r="AH216" s="4">
        <f t="shared" ref="AH216:AH391" si="34">SUM(AI216:AW216)</f>
        <v>182230.44748800003</v>
      </c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>
        <v>158230.44748800003</v>
      </c>
      <c r="AV216" s="4">
        <v>24000</v>
      </c>
      <c r="AW216" s="4"/>
      <c r="AZ216" s="156">
        <f>+N216-'Приложение №4'!E211</f>
        <v>0</v>
      </c>
    </row>
    <row r="217" spans="1:52" ht="15" x14ac:dyDescent="0.25">
      <c r="A217" s="122">
        <f t="shared" si="32"/>
        <v>200</v>
      </c>
      <c r="B217" s="62">
        <f t="shared" si="33"/>
        <v>200</v>
      </c>
      <c r="C217" s="62" t="s">
        <v>94</v>
      </c>
      <c r="D217" s="62" t="s">
        <v>240</v>
      </c>
      <c r="E217" s="123" t="s">
        <v>120</v>
      </c>
      <c r="F217" s="123"/>
      <c r="G217" s="123" t="s">
        <v>96</v>
      </c>
      <c r="H217" s="123" t="s">
        <v>108</v>
      </c>
      <c r="I217" s="123" t="s">
        <v>98</v>
      </c>
      <c r="J217" s="64">
        <v>1833</v>
      </c>
      <c r="K217" s="64">
        <v>1523</v>
      </c>
      <c r="L217" s="64">
        <v>0</v>
      </c>
      <c r="M217" s="124">
        <v>73</v>
      </c>
      <c r="N217" s="95">
        <f t="shared" si="29"/>
        <v>208906.47999999998</v>
      </c>
      <c r="O217" s="64">
        <v>0</v>
      </c>
      <c r="P217" s="64"/>
      <c r="Q217" s="64"/>
      <c r="R217" s="64">
        <f>+'[12]Приложение № 4'!E195</f>
        <v>208906.47999999998</v>
      </c>
      <c r="S217" s="64"/>
      <c r="T217" s="64"/>
      <c r="U217" s="64">
        <f t="shared" si="26"/>
        <v>137.16774786605382</v>
      </c>
      <c r="V217" s="64">
        <f t="shared" si="26"/>
        <v>137.16774786605382</v>
      </c>
      <c r="W217" s="163" t="s">
        <v>495</v>
      </c>
      <c r="X217" s="156" t="e">
        <f>+N217-#REF!</f>
        <v>#REF!</v>
      </c>
      <c r="Y217" s="153">
        <v>555511.35</v>
      </c>
      <c r="Z217" s="153">
        <f t="shared" si="30"/>
        <v>166311.59999999998</v>
      </c>
      <c r="AB217" s="156" t="e">
        <f>+N217-#REF!</f>
        <v>#REF!</v>
      </c>
      <c r="AC217" s="164">
        <f>+N217-'[12]Приложение № 4'!E195</f>
        <v>0</v>
      </c>
      <c r="AE217" s="165" t="e">
        <f>+N217-#REF!</f>
        <v>#REF!</v>
      </c>
      <c r="AG217" s="3" t="s">
        <v>240</v>
      </c>
      <c r="AH217" s="4">
        <f t="shared" si="34"/>
        <v>225965.15635199999</v>
      </c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>
        <v>201965.15635199999</v>
      </c>
      <c r="AV217" s="4">
        <v>24000</v>
      </c>
      <c r="AW217" s="4"/>
      <c r="AZ217" s="156">
        <f>+N217-'Приложение №4'!E212</f>
        <v>0</v>
      </c>
    </row>
    <row r="218" spans="1:52" ht="15" x14ac:dyDescent="0.25">
      <c r="A218" s="122">
        <f t="shared" si="32"/>
        <v>201</v>
      </c>
      <c r="B218" s="62">
        <f t="shared" si="33"/>
        <v>201</v>
      </c>
      <c r="C218" s="62" t="s">
        <v>94</v>
      </c>
      <c r="D218" s="62" t="s">
        <v>241</v>
      </c>
      <c r="E218" s="123" t="s">
        <v>121</v>
      </c>
      <c r="F218" s="123"/>
      <c r="G218" s="123" t="s">
        <v>96</v>
      </c>
      <c r="H218" s="123" t="s">
        <v>108</v>
      </c>
      <c r="I218" s="123" t="s">
        <v>98</v>
      </c>
      <c r="J218" s="64">
        <v>1863.8</v>
      </c>
      <c r="K218" s="64">
        <v>1550</v>
      </c>
      <c r="L218" s="64">
        <v>0</v>
      </c>
      <c r="M218" s="124">
        <v>61</v>
      </c>
      <c r="N218" s="95">
        <f t="shared" si="29"/>
        <v>208225.19</v>
      </c>
      <c r="O218" s="64">
        <v>0</v>
      </c>
      <c r="P218" s="64"/>
      <c r="Q218" s="64"/>
      <c r="R218" s="64">
        <f>+'[12]Приложение № 4'!E196</f>
        <v>208225.19</v>
      </c>
      <c r="S218" s="64"/>
      <c r="T218" s="64"/>
      <c r="U218" s="64">
        <f t="shared" si="26"/>
        <v>134.33883225806451</v>
      </c>
      <c r="V218" s="64">
        <f t="shared" si="26"/>
        <v>134.33883225806451</v>
      </c>
      <c r="W218" s="163" t="s">
        <v>495</v>
      </c>
      <c r="X218" s="156" t="e">
        <f>+N218-#REF!</f>
        <v>#REF!</v>
      </c>
      <c r="Y218" s="153">
        <v>610348.51</v>
      </c>
      <c r="Z218" s="153">
        <f t="shared" si="30"/>
        <v>169260</v>
      </c>
      <c r="AB218" s="156" t="e">
        <f>+N218-#REF!</f>
        <v>#REF!</v>
      </c>
      <c r="AC218" s="164">
        <f>+N218-'[12]Приложение № 4'!E196</f>
        <v>0</v>
      </c>
      <c r="AE218" s="165" t="e">
        <f>+N218-#REF!</f>
        <v>#REF!</v>
      </c>
      <c r="AG218" s="3" t="s">
        <v>241</v>
      </c>
      <c r="AH218" s="4">
        <f t="shared" si="34"/>
        <v>225280.28083200002</v>
      </c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>
        <v>201280.28083200002</v>
      </c>
      <c r="AV218" s="4">
        <v>24000</v>
      </c>
      <c r="AW218" s="4"/>
      <c r="AZ218" s="156">
        <f>+N218-'Приложение №4'!E213</f>
        <v>0</v>
      </c>
    </row>
    <row r="219" spans="1:52" ht="15" x14ac:dyDescent="0.25">
      <c r="A219" s="122">
        <f t="shared" si="32"/>
        <v>202</v>
      </c>
      <c r="B219" s="62">
        <f t="shared" si="33"/>
        <v>202</v>
      </c>
      <c r="C219" s="62" t="s">
        <v>94</v>
      </c>
      <c r="D219" s="62" t="s">
        <v>242</v>
      </c>
      <c r="E219" s="123" t="s">
        <v>104</v>
      </c>
      <c r="F219" s="123"/>
      <c r="G219" s="123" t="s">
        <v>96</v>
      </c>
      <c r="H219" s="123" t="s">
        <v>108</v>
      </c>
      <c r="I219" s="123" t="s">
        <v>98</v>
      </c>
      <c r="J219" s="64">
        <v>1910.1</v>
      </c>
      <c r="K219" s="64">
        <v>1599.5</v>
      </c>
      <c r="L219" s="64">
        <v>0</v>
      </c>
      <c r="M219" s="124">
        <v>70</v>
      </c>
      <c r="N219" s="95">
        <f t="shared" si="29"/>
        <v>291527.46999999997</v>
      </c>
      <c r="O219" s="64">
        <v>0</v>
      </c>
      <c r="P219" s="64"/>
      <c r="Q219" s="64"/>
      <c r="R219" s="64">
        <f>+'[12]Приложение № 4'!E197</f>
        <v>291527.46999999997</v>
      </c>
      <c r="S219" s="64"/>
      <c r="T219" s="64"/>
      <c r="U219" s="64">
        <f t="shared" si="26"/>
        <v>182.26162550797122</v>
      </c>
      <c r="V219" s="64">
        <f t="shared" si="26"/>
        <v>182.26162550797122</v>
      </c>
      <c r="W219" s="163" t="s">
        <v>495</v>
      </c>
      <c r="X219" s="156" t="e">
        <f>+N219-#REF!</f>
        <v>#REF!</v>
      </c>
      <c r="Y219" s="153">
        <v>563318.52</v>
      </c>
      <c r="Z219" s="153">
        <f t="shared" si="30"/>
        <v>174665.4</v>
      </c>
      <c r="AB219" s="156" t="e">
        <f>+N219-#REF!</f>
        <v>#REF!</v>
      </c>
      <c r="AC219" s="164">
        <f>+N219-'[12]Приложение № 4'!E197</f>
        <v>0</v>
      </c>
      <c r="AE219" s="165" t="e">
        <f>+N219-#REF!</f>
        <v>#REF!</v>
      </c>
      <c r="AG219" s="3" t="s">
        <v>242</v>
      </c>
      <c r="AH219" s="4">
        <f t="shared" si="34"/>
        <v>226307.59411200002</v>
      </c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>
        <v>202307.59411200002</v>
      </c>
      <c r="AV219" s="4">
        <v>24000</v>
      </c>
      <c r="AW219" s="4"/>
      <c r="AZ219" s="156">
        <f>+N219-'Приложение №4'!E214</f>
        <v>0</v>
      </c>
    </row>
    <row r="220" spans="1:52" ht="15" x14ac:dyDescent="0.25">
      <c r="A220" s="122">
        <f t="shared" si="32"/>
        <v>203</v>
      </c>
      <c r="B220" s="62">
        <f t="shared" si="33"/>
        <v>203</v>
      </c>
      <c r="C220" s="62" t="s">
        <v>94</v>
      </c>
      <c r="D220" s="62" t="s">
        <v>244</v>
      </c>
      <c r="E220" s="123" t="s">
        <v>501</v>
      </c>
      <c r="F220" s="123"/>
      <c r="G220" s="123" t="s">
        <v>96</v>
      </c>
      <c r="H220" s="123" t="s">
        <v>105</v>
      </c>
      <c r="I220" s="123" t="s">
        <v>98</v>
      </c>
      <c r="J220" s="64">
        <v>1348</v>
      </c>
      <c r="K220" s="64">
        <v>1248.7</v>
      </c>
      <c r="L220" s="64">
        <v>0</v>
      </c>
      <c r="M220" s="124">
        <v>74</v>
      </c>
      <c r="N220" s="95">
        <f t="shared" si="29"/>
        <v>234212.08000000002</v>
      </c>
      <c r="O220" s="64">
        <v>0</v>
      </c>
      <c r="P220" s="64"/>
      <c r="Q220" s="64"/>
      <c r="R220" s="64">
        <f>+'[12]Приложение № 4'!E198</f>
        <v>234212.08000000002</v>
      </c>
      <c r="S220" s="64"/>
      <c r="T220" s="64"/>
      <c r="U220" s="64">
        <f t="shared" si="26"/>
        <v>187.5647313205734</v>
      </c>
      <c r="V220" s="64">
        <f t="shared" si="26"/>
        <v>187.5647313205734</v>
      </c>
      <c r="W220" s="163" t="s">
        <v>495</v>
      </c>
      <c r="X220" s="156" t="e">
        <f>+N220-#REF!</f>
        <v>#REF!</v>
      </c>
      <c r="Y220" s="153">
        <v>445635.63</v>
      </c>
      <c r="Z220" s="153">
        <f t="shared" si="30"/>
        <v>136358.04</v>
      </c>
      <c r="AB220" s="156" t="e">
        <f>+N220-#REF!</f>
        <v>#REF!</v>
      </c>
      <c r="AC220" s="164">
        <f>+N220-'[12]Приложение № 4'!E198</f>
        <v>0</v>
      </c>
      <c r="AE220" s="165" t="e">
        <f>+N220-#REF!</f>
        <v>#REF!</v>
      </c>
      <c r="AG220" s="3" t="s">
        <v>244</v>
      </c>
      <c r="AH220" s="4">
        <f t="shared" si="34"/>
        <v>413390.90214369842</v>
      </c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>
        <v>372400.51043169841</v>
      </c>
      <c r="AV220" s="4">
        <v>40990.391711999997</v>
      </c>
      <c r="AW220" s="4"/>
      <c r="AZ220" s="156">
        <f>+N220-'Приложение №4'!E215</f>
        <v>0</v>
      </c>
    </row>
    <row r="221" spans="1:52" ht="15" x14ac:dyDescent="0.25">
      <c r="A221" s="122">
        <f t="shared" si="32"/>
        <v>204</v>
      </c>
      <c r="B221" s="62">
        <f t="shared" si="33"/>
        <v>204</v>
      </c>
      <c r="C221" s="62" t="s">
        <v>94</v>
      </c>
      <c r="D221" s="62" t="s">
        <v>246</v>
      </c>
      <c r="E221" s="123" t="s">
        <v>131</v>
      </c>
      <c r="F221" s="123"/>
      <c r="G221" s="123" t="s">
        <v>96</v>
      </c>
      <c r="H221" s="123" t="s">
        <v>105</v>
      </c>
      <c r="I221" s="123" t="s">
        <v>98</v>
      </c>
      <c r="J221" s="64">
        <v>1240.4000000000001</v>
      </c>
      <c r="K221" s="64">
        <v>1129.4000000000001</v>
      </c>
      <c r="L221" s="64">
        <v>0</v>
      </c>
      <c r="M221" s="124">
        <v>70</v>
      </c>
      <c r="N221" s="95">
        <f t="shared" si="29"/>
        <v>406095.02</v>
      </c>
      <c r="O221" s="64">
        <v>0</v>
      </c>
      <c r="P221" s="64"/>
      <c r="Q221" s="64"/>
      <c r="R221" s="64">
        <f>+'[12]Приложение № 4'!E199</f>
        <v>406095.02</v>
      </c>
      <c r="S221" s="64"/>
      <c r="T221" s="64"/>
      <c r="U221" s="64">
        <f t="shared" si="26"/>
        <v>359.56704444837965</v>
      </c>
      <c r="V221" s="64">
        <f t="shared" si="26"/>
        <v>359.56704444837965</v>
      </c>
      <c r="W221" s="163" t="s">
        <v>495</v>
      </c>
      <c r="X221" s="156" t="e">
        <f>+N221-#REF!</f>
        <v>#REF!</v>
      </c>
      <c r="Y221" s="153">
        <v>495139.01</v>
      </c>
      <c r="Z221" s="153">
        <f t="shared" si="30"/>
        <v>123330.48000000001</v>
      </c>
      <c r="AB221" s="156" t="e">
        <f>+N221-#REF!</f>
        <v>#REF!</v>
      </c>
      <c r="AC221" s="164">
        <f>+N221-'[12]Приложение № 4'!E199</f>
        <v>0</v>
      </c>
      <c r="AE221" s="165" t="e">
        <f>+N221-#REF!</f>
        <v>#REF!</v>
      </c>
      <c r="AG221" s="3" t="s">
        <v>246</v>
      </c>
      <c r="AH221" s="4">
        <f t="shared" si="34"/>
        <v>424192.78784563695</v>
      </c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>
        <v>383394.60674803698</v>
      </c>
      <c r="AV221" s="4">
        <v>40798.181097599998</v>
      </c>
      <c r="AW221" s="4"/>
      <c r="AZ221" s="156">
        <f>+N221-'Приложение №4'!E216</f>
        <v>0</v>
      </c>
    </row>
    <row r="222" spans="1:52" ht="15" x14ac:dyDescent="0.25">
      <c r="A222" s="122">
        <f t="shared" si="32"/>
        <v>205</v>
      </c>
      <c r="B222" s="62">
        <f t="shared" si="33"/>
        <v>205</v>
      </c>
      <c r="C222" s="62" t="s">
        <v>94</v>
      </c>
      <c r="D222" s="62" t="s">
        <v>247</v>
      </c>
      <c r="E222" s="123" t="s">
        <v>502</v>
      </c>
      <c r="F222" s="123"/>
      <c r="G222" s="123" t="s">
        <v>96</v>
      </c>
      <c r="H222" s="123" t="s">
        <v>105</v>
      </c>
      <c r="I222" s="123" t="s">
        <v>101</v>
      </c>
      <c r="J222" s="64">
        <v>1645.1</v>
      </c>
      <c r="K222" s="64">
        <v>1499.3</v>
      </c>
      <c r="L222" s="64">
        <v>0</v>
      </c>
      <c r="M222" s="124">
        <v>71</v>
      </c>
      <c r="N222" s="95">
        <f t="shared" si="29"/>
        <v>1383147.26</v>
      </c>
      <c r="O222" s="64">
        <v>0</v>
      </c>
      <c r="P222" s="64"/>
      <c r="Q222" s="64"/>
      <c r="R222" s="64">
        <f>+'[12]Приложение № 4'!E200</f>
        <v>1383147.26</v>
      </c>
      <c r="S222" s="64"/>
      <c r="T222" s="64"/>
      <c r="U222" s="64">
        <f t="shared" si="26"/>
        <v>922.52868672046964</v>
      </c>
      <c r="V222" s="64">
        <f t="shared" si="26"/>
        <v>922.52868672046964</v>
      </c>
      <c r="W222" s="163" t="s">
        <v>495</v>
      </c>
      <c r="X222" s="156" t="e">
        <f>+N222-#REF!</f>
        <v>#REF!</v>
      </c>
      <c r="Y222" s="153">
        <v>919795.95</v>
      </c>
      <c r="Z222" s="153">
        <f t="shared" si="30"/>
        <v>163723.56</v>
      </c>
      <c r="AB222" s="156" t="e">
        <f>+N222-#REF!</f>
        <v>#REF!</v>
      </c>
      <c r="AC222" s="164">
        <f>+N222-'[12]Приложение № 4'!E200</f>
        <v>0</v>
      </c>
      <c r="AE222" s="165" t="e">
        <f>+N222-#REF!</f>
        <v>#REF!</v>
      </c>
      <c r="AG222" s="3" t="s">
        <v>247</v>
      </c>
      <c r="AH222" s="4">
        <f t="shared" si="34"/>
        <v>1390309.3192010124</v>
      </c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>
        <v>1348146.1926530125</v>
      </c>
      <c r="AV222" s="4">
        <v>42163.126548</v>
      </c>
      <c r="AW222" s="4"/>
      <c r="AZ222" s="156">
        <f>+N222-'Приложение №4'!E217</f>
        <v>0</v>
      </c>
    </row>
    <row r="223" spans="1:52" ht="15" x14ac:dyDescent="0.25">
      <c r="A223" s="122">
        <f t="shared" si="32"/>
        <v>206</v>
      </c>
      <c r="B223" s="62">
        <f t="shared" si="33"/>
        <v>206</v>
      </c>
      <c r="C223" s="62" t="s">
        <v>94</v>
      </c>
      <c r="D223" s="78" t="s">
        <v>540</v>
      </c>
      <c r="E223" s="123">
        <v>1968</v>
      </c>
      <c r="F223" s="123">
        <v>2013</v>
      </c>
      <c r="G223" s="123" t="s">
        <v>43</v>
      </c>
      <c r="H223" s="123">
        <v>4</v>
      </c>
      <c r="I223" s="123">
        <v>2</v>
      </c>
      <c r="J223" s="64">
        <v>1340.1</v>
      </c>
      <c r="K223" s="64">
        <v>1243.3</v>
      </c>
      <c r="L223" s="64">
        <v>0</v>
      </c>
      <c r="M223" s="124">
        <v>47</v>
      </c>
      <c r="N223" s="95">
        <f>+P223+Q223+R223+S223+T223</f>
        <v>82537.200845238855</v>
      </c>
      <c r="O223" s="125"/>
      <c r="P223" s="65"/>
      <c r="Q223" s="65"/>
      <c r="R223" s="64">
        <f>+'[12]Приложение № 4'!E201</f>
        <v>82537.200845238855</v>
      </c>
      <c r="S223" s="65"/>
      <c r="T223" s="65"/>
      <c r="U223" s="64">
        <f t="shared" si="26"/>
        <v>66.385587424787943</v>
      </c>
      <c r="V223" s="64">
        <f t="shared" si="26"/>
        <v>66.385587424787943</v>
      </c>
      <c r="W223" s="163" t="s">
        <v>495</v>
      </c>
      <c r="X223" s="156"/>
      <c r="AB223" s="156"/>
      <c r="AC223" s="164">
        <f>+N223-'[12]Приложение № 4'!E201</f>
        <v>0</v>
      </c>
      <c r="AE223" s="165"/>
      <c r="AG223" s="3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Z223" s="156">
        <f>+N223-'Приложение №4'!E218</f>
        <v>0</v>
      </c>
    </row>
    <row r="224" spans="1:52" ht="15" x14ac:dyDescent="0.25">
      <c r="A224" s="122">
        <f t="shared" si="32"/>
        <v>207</v>
      </c>
      <c r="B224" s="62">
        <f t="shared" si="33"/>
        <v>207</v>
      </c>
      <c r="C224" s="169" t="s">
        <v>94</v>
      </c>
      <c r="D224" s="18" t="s">
        <v>1183</v>
      </c>
      <c r="E224" s="171" t="s">
        <v>119</v>
      </c>
      <c r="F224" s="123"/>
      <c r="G224" s="123" t="s">
        <v>48</v>
      </c>
      <c r="H224" s="123">
        <v>2</v>
      </c>
      <c r="I224" s="123">
        <v>2</v>
      </c>
      <c r="J224" s="64">
        <v>1084.2</v>
      </c>
      <c r="K224" s="64">
        <v>903.7</v>
      </c>
      <c r="L224" s="64">
        <v>0</v>
      </c>
      <c r="M224" s="124">
        <v>45</v>
      </c>
      <c r="N224" s="95">
        <f t="shared" ref="N224:N225" si="35">+P224+Q224+R224+S224+T224</f>
        <v>155723.11000000002</v>
      </c>
      <c r="O224" s="125"/>
      <c r="P224" s="65"/>
      <c r="Q224" s="65"/>
      <c r="R224" s="64">
        <f>+'Приложение №4'!E219</f>
        <v>155723.11000000002</v>
      </c>
      <c r="S224" s="65"/>
      <c r="T224" s="65"/>
      <c r="U224" s="64">
        <f t="shared" si="26"/>
        <v>172.31726236582938</v>
      </c>
      <c r="V224" s="64">
        <f t="shared" si="26"/>
        <v>172.31726236582938</v>
      </c>
      <c r="W224" s="163" t="s">
        <v>495</v>
      </c>
      <c r="X224" s="156"/>
      <c r="AB224" s="156"/>
      <c r="AC224" s="164"/>
      <c r="AE224" s="165"/>
      <c r="AG224" s="3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Z224" s="156">
        <f>+N224-'Приложение №4'!E219</f>
        <v>0</v>
      </c>
    </row>
    <row r="225" spans="1:52" ht="15" x14ac:dyDescent="0.25">
      <c r="A225" s="122">
        <f t="shared" si="32"/>
        <v>208</v>
      </c>
      <c r="B225" s="62">
        <f t="shared" si="33"/>
        <v>208</v>
      </c>
      <c r="C225" s="62" t="s">
        <v>94</v>
      </c>
      <c r="D225" s="102" t="s">
        <v>599</v>
      </c>
      <c r="E225" s="123">
        <v>1988</v>
      </c>
      <c r="F225" s="123"/>
      <c r="G225" s="123" t="s">
        <v>48</v>
      </c>
      <c r="H225" s="123">
        <v>4</v>
      </c>
      <c r="I225" s="123">
        <v>1</v>
      </c>
      <c r="J225" s="64">
        <v>692.5</v>
      </c>
      <c r="K225" s="64">
        <v>621.70000000000005</v>
      </c>
      <c r="L225" s="64">
        <v>0</v>
      </c>
      <c r="M225" s="124">
        <v>35</v>
      </c>
      <c r="N225" s="95">
        <f t="shared" si="35"/>
        <v>11099.2</v>
      </c>
      <c r="O225" s="125"/>
      <c r="P225" s="65"/>
      <c r="Q225" s="65"/>
      <c r="R225" s="64">
        <f>+'Приложение №4'!E220</f>
        <v>11099.2</v>
      </c>
      <c r="S225" s="65"/>
      <c r="T225" s="65"/>
      <c r="U225" s="64">
        <f t="shared" si="26"/>
        <v>17.852983754222294</v>
      </c>
      <c r="V225" s="64">
        <f t="shared" si="26"/>
        <v>17.852983754222294</v>
      </c>
      <c r="W225" s="163" t="s">
        <v>495</v>
      </c>
      <c r="X225" s="156"/>
      <c r="AB225" s="156"/>
      <c r="AC225" s="164"/>
      <c r="AE225" s="165"/>
      <c r="AG225" s="3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Z225" s="156">
        <f>+N225-'Приложение №4'!E220</f>
        <v>0</v>
      </c>
    </row>
    <row r="226" spans="1:52" ht="15" x14ac:dyDescent="0.25">
      <c r="A226" s="122">
        <f t="shared" si="32"/>
        <v>209</v>
      </c>
      <c r="B226" s="62">
        <f t="shared" si="33"/>
        <v>209</v>
      </c>
      <c r="C226" s="62" t="s">
        <v>94</v>
      </c>
      <c r="D226" s="62" t="s">
        <v>250</v>
      </c>
      <c r="E226" s="123" t="s">
        <v>95</v>
      </c>
      <c r="F226" s="123"/>
      <c r="G226" s="123" t="s">
        <v>99</v>
      </c>
      <c r="H226" s="123" t="s">
        <v>101</v>
      </c>
      <c r="I226" s="123" t="s">
        <v>98</v>
      </c>
      <c r="J226" s="64">
        <v>1766.8</v>
      </c>
      <c r="K226" s="64">
        <v>1505</v>
      </c>
      <c r="L226" s="64">
        <v>0</v>
      </c>
      <c r="M226" s="124">
        <v>66</v>
      </c>
      <c r="N226" s="95">
        <f t="shared" si="29"/>
        <v>145201.22</v>
      </c>
      <c r="O226" s="64">
        <v>0</v>
      </c>
      <c r="P226" s="64"/>
      <c r="Q226" s="64"/>
      <c r="R226" s="64">
        <f>+'[12]Приложение № 4'!E202</f>
        <v>145201.22</v>
      </c>
      <c r="S226" s="64"/>
      <c r="T226" s="64"/>
      <c r="U226" s="64">
        <f t="shared" ref="U226:V289" si="36">$N226/($K226+$L226)</f>
        <v>96.479215946843851</v>
      </c>
      <c r="V226" s="64">
        <f t="shared" si="36"/>
        <v>96.479215946843851</v>
      </c>
      <c r="W226" s="163" t="s">
        <v>495</v>
      </c>
      <c r="X226" s="156" t="e">
        <f>+N226-#REF!</f>
        <v>#REF!</v>
      </c>
      <c r="Y226" s="153">
        <v>564259.43000000005</v>
      </c>
      <c r="Z226" s="153">
        <f t="shared" si="30"/>
        <v>164346</v>
      </c>
      <c r="AB226" s="156" t="e">
        <f>+N226-#REF!</f>
        <v>#REF!</v>
      </c>
      <c r="AC226" s="164">
        <f>+N226-'[12]Приложение № 4'!E202</f>
        <v>0</v>
      </c>
      <c r="AE226" s="165" t="e">
        <f>+N226-#REF!</f>
        <v>#REF!</v>
      </c>
      <c r="AG226" s="3" t="s">
        <v>250</v>
      </c>
      <c r="AH226" s="4">
        <f t="shared" si="34"/>
        <v>147138.38707200001</v>
      </c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>
        <v>123138.387072</v>
      </c>
      <c r="AV226" s="4">
        <v>24000</v>
      </c>
      <c r="AW226" s="4"/>
      <c r="AZ226" s="156">
        <f>+N226-'Приложение №4'!E221</f>
        <v>0</v>
      </c>
    </row>
    <row r="227" spans="1:52" ht="15" x14ac:dyDescent="0.25">
      <c r="A227" s="122">
        <f t="shared" si="32"/>
        <v>210</v>
      </c>
      <c r="B227" s="62">
        <f t="shared" si="33"/>
        <v>210</v>
      </c>
      <c r="C227" s="62" t="s">
        <v>94</v>
      </c>
      <c r="D227" s="62" t="s">
        <v>533</v>
      </c>
      <c r="E227" s="123" t="s">
        <v>116</v>
      </c>
      <c r="F227" s="123"/>
      <c r="G227" s="123" t="s">
        <v>96</v>
      </c>
      <c r="H227" s="123" t="s">
        <v>105</v>
      </c>
      <c r="I227" s="123" t="s">
        <v>105</v>
      </c>
      <c r="J227" s="64">
        <v>3722.9</v>
      </c>
      <c r="K227" s="64">
        <v>3131.2</v>
      </c>
      <c r="L227" s="64">
        <v>69.400000000000006</v>
      </c>
      <c r="M227" s="124">
        <v>132</v>
      </c>
      <c r="N227" s="95">
        <f t="shared" ref="N227:N235" si="37">+P227+Q227+R227+S227+T227</f>
        <v>435346.44</v>
      </c>
      <c r="O227" s="64"/>
      <c r="P227" s="65"/>
      <c r="Q227" s="65"/>
      <c r="R227" s="64">
        <f>+'[12]Приложение № 4'!E203</f>
        <v>435346.44</v>
      </c>
      <c r="S227" s="65"/>
      <c r="T227" s="65"/>
      <c r="U227" s="64">
        <f t="shared" si="36"/>
        <v>136.02025870149347</v>
      </c>
      <c r="V227" s="64">
        <f t="shared" si="36"/>
        <v>136.02025870149347</v>
      </c>
      <c r="W227" s="163" t="s">
        <v>495</v>
      </c>
      <c r="X227" s="157"/>
      <c r="Y227" s="158"/>
      <c r="Z227" s="158"/>
      <c r="AA227" s="158"/>
      <c r="AC227" s="164">
        <f>+N227-'[12]Приложение № 4'!E203</f>
        <v>0</v>
      </c>
      <c r="AZ227" s="156">
        <f>+N227-'Приложение №4'!E222</f>
        <v>0</v>
      </c>
    </row>
    <row r="228" spans="1:52" ht="15" x14ac:dyDescent="0.25">
      <c r="A228" s="122">
        <f t="shared" si="32"/>
        <v>211</v>
      </c>
      <c r="B228" s="62">
        <f t="shared" si="33"/>
        <v>211</v>
      </c>
      <c r="C228" s="62" t="s">
        <v>94</v>
      </c>
      <c r="D228" s="62" t="s">
        <v>557</v>
      </c>
      <c r="E228" s="123">
        <v>1977</v>
      </c>
      <c r="F228" s="123">
        <v>2013</v>
      </c>
      <c r="G228" s="123" t="s">
        <v>47</v>
      </c>
      <c r="H228" s="123">
        <v>4</v>
      </c>
      <c r="I228" s="123">
        <v>4</v>
      </c>
      <c r="J228" s="64">
        <v>3912.5</v>
      </c>
      <c r="K228" s="64">
        <v>3429.3</v>
      </c>
      <c r="L228" s="64">
        <v>0</v>
      </c>
      <c r="M228" s="124">
        <v>156</v>
      </c>
      <c r="N228" s="95">
        <f t="shared" si="37"/>
        <v>112223.26582337829</v>
      </c>
      <c r="O228" s="125"/>
      <c r="P228" s="65"/>
      <c r="Q228" s="65"/>
      <c r="R228" s="64">
        <f>+'[12]Приложение № 4'!E204</f>
        <v>112223.26582337829</v>
      </c>
      <c r="S228" s="65"/>
      <c r="T228" s="65"/>
      <c r="U228" s="64">
        <f t="shared" si="36"/>
        <v>32.724831838386343</v>
      </c>
      <c r="V228" s="64">
        <f t="shared" si="36"/>
        <v>32.724831838386343</v>
      </c>
      <c r="W228" s="163" t="s">
        <v>495</v>
      </c>
      <c r="X228" s="157"/>
      <c r="Y228" s="158"/>
      <c r="Z228" s="158"/>
      <c r="AA228" s="158"/>
      <c r="AC228" s="164">
        <f>+N228-'[12]Приложение № 4'!E204</f>
        <v>0</v>
      </c>
      <c r="AZ228" s="156">
        <f>+N228-'Приложение №4'!E223</f>
        <v>0</v>
      </c>
    </row>
    <row r="229" spans="1:52" ht="15" x14ac:dyDescent="0.25">
      <c r="A229" s="122">
        <f t="shared" si="32"/>
        <v>212</v>
      </c>
      <c r="B229" s="62">
        <f t="shared" si="33"/>
        <v>212</v>
      </c>
      <c r="C229" s="62" t="s">
        <v>511</v>
      </c>
      <c r="D229" s="62" t="s">
        <v>254</v>
      </c>
      <c r="E229" s="123" t="s">
        <v>152</v>
      </c>
      <c r="F229" s="123"/>
      <c r="G229" s="123" t="s">
        <v>96</v>
      </c>
      <c r="H229" s="123" t="s">
        <v>105</v>
      </c>
      <c r="I229" s="123" t="s">
        <v>109</v>
      </c>
      <c r="J229" s="64">
        <v>3954.3</v>
      </c>
      <c r="K229" s="64">
        <v>3614.5</v>
      </c>
      <c r="L229" s="64">
        <v>0</v>
      </c>
      <c r="M229" s="124">
        <v>169</v>
      </c>
      <c r="N229" s="95">
        <f t="shared" si="37"/>
        <v>1336365.3899999999</v>
      </c>
      <c r="O229" s="64">
        <v>0</v>
      </c>
      <c r="P229" s="64"/>
      <c r="Q229" s="64"/>
      <c r="R229" s="64">
        <f>+'Приложение №4'!E224</f>
        <v>1336365.3899999999</v>
      </c>
      <c r="S229" s="64"/>
      <c r="T229" s="64"/>
      <c r="U229" s="64">
        <f t="shared" si="36"/>
        <v>369.72344445981463</v>
      </c>
      <c r="V229" s="64">
        <f t="shared" si="36"/>
        <v>369.72344445981463</v>
      </c>
      <c r="W229" s="163" t="s">
        <v>495</v>
      </c>
      <c r="X229" s="156" t="e">
        <f>+N229-#REF!</f>
        <v>#REF!</v>
      </c>
      <c r="Y229" s="153">
        <v>1368247.05</v>
      </c>
      <c r="Z229" s="153">
        <f t="shared" si="30"/>
        <v>394703.39999999997</v>
      </c>
      <c r="AB229" s="156" t="e">
        <f>+N229-#REF!</f>
        <v>#REF!</v>
      </c>
      <c r="AC229" s="164">
        <f>+N229-'[12]Приложение № 4'!E205</f>
        <v>0</v>
      </c>
      <c r="AE229" s="165" t="e">
        <f>+N229-#REF!</f>
        <v>#REF!</v>
      </c>
      <c r="AG229" s="3" t="s">
        <v>254</v>
      </c>
      <c r="AH229" s="4">
        <f t="shared" si="34"/>
        <v>1078030.123418397</v>
      </c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>
        <v>1054030.123418397</v>
      </c>
      <c r="AV229" s="4">
        <v>24000</v>
      </c>
      <c r="AW229" s="4"/>
      <c r="AZ229" s="156">
        <f>+N229-'Приложение №4'!E224</f>
        <v>0</v>
      </c>
    </row>
    <row r="230" spans="1:52" ht="15" x14ac:dyDescent="0.25">
      <c r="A230" s="122">
        <f t="shared" si="32"/>
        <v>213</v>
      </c>
      <c r="B230" s="62">
        <f t="shared" si="33"/>
        <v>213</v>
      </c>
      <c r="C230" s="62" t="s">
        <v>511</v>
      </c>
      <c r="D230" s="62" t="s">
        <v>403</v>
      </c>
      <c r="E230" s="123" t="s">
        <v>111</v>
      </c>
      <c r="F230" s="123"/>
      <c r="G230" s="123" t="s">
        <v>96</v>
      </c>
      <c r="H230" s="123" t="s">
        <v>108</v>
      </c>
      <c r="I230" s="123" t="s">
        <v>105</v>
      </c>
      <c r="J230" s="64">
        <v>3877.3</v>
      </c>
      <c r="K230" s="64">
        <v>3542.6</v>
      </c>
      <c r="L230" s="64">
        <v>0</v>
      </c>
      <c r="M230" s="124">
        <v>183</v>
      </c>
      <c r="N230" s="95">
        <f t="shared" si="37"/>
        <v>1977855.4499999997</v>
      </c>
      <c r="O230" s="64">
        <v>0</v>
      </c>
      <c r="P230" s="64"/>
      <c r="Q230" s="64"/>
      <c r="R230" s="64">
        <f>+'[12]Приложение № 4'!E206</f>
        <v>1977855.4499999997</v>
      </c>
      <c r="S230" s="64"/>
      <c r="T230" s="64"/>
      <c r="U230" s="64">
        <f t="shared" si="36"/>
        <v>558.30617343194263</v>
      </c>
      <c r="V230" s="64">
        <f t="shared" si="36"/>
        <v>558.30617343194263</v>
      </c>
      <c r="W230" s="163" t="s">
        <v>495</v>
      </c>
      <c r="X230" s="156" t="e">
        <f>+N230-#REF!</f>
        <v>#REF!</v>
      </c>
      <c r="Y230" s="153">
        <v>1390778.1</v>
      </c>
      <c r="Z230" s="153">
        <f>+(K230*9.1+L230*18.19)*12</f>
        <v>386851.91999999993</v>
      </c>
      <c r="AB230" s="156" t="e">
        <f>+N230-#REF!</f>
        <v>#REF!</v>
      </c>
      <c r="AC230" s="164">
        <f>+N230-'[12]Приложение № 4'!E206</f>
        <v>0</v>
      </c>
      <c r="AE230" s="165" t="e">
        <f>+N230-#REF!</f>
        <v>#REF!</v>
      </c>
      <c r="AG230" s="3" t="s">
        <v>403</v>
      </c>
      <c r="AH230" s="4">
        <f>SUM(AI230:AW230)</f>
        <v>1977855.442470486</v>
      </c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>
        <v>1933336.306820886</v>
      </c>
      <c r="AV230" s="4">
        <v>44519.135649599993</v>
      </c>
      <c r="AW230" s="4"/>
      <c r="AZ230" s="156">
        <f>+N230-'Приложение №4'!E225</f>
        <v>0</v>
      </c>
    </row>
    <row r="231" spans="1:52" ht="15" x14ac:dyDescent="0.25">
      <c r="A231" s="122">
        <f t="shared" si="32"/>
        <v>214</v>
      </c>
      <c r="B231" s="62">
        <f t="shared" si="33"/>
        <v>214</v>
      </c>
      <c r="C231" s="62" t="s">
        <v>511</v>
      </c>
      <c r="D231" s="78" t="s">
        <v>558</v>
      </c>
      <c r="E231" s="123">
        <v>1979</v>
      </c>
      <c r="F231" s="123">
        <v>1979</v>
      </c>
      <c r="G231" s="123" t="s">
        <v>43</v>
      </c>
      <c r="H231" s="123">
        <v>4</v>
      </c>
      <c r="I231" s="123">
        <v>6</v>
      </c>
      <c r="J231" s="64">
        <v>3879.4</v>
      </c>
      <c r="K231" s="64">
        <v>3505.8</v>
      </c>
      <c r="L231" s="64">
        <v>0</v>
      </c>
      <c r="M231" s="124">
        <v>203</v>
      </c>
      <c r="N231" s="95">
        <f t="shared" si="37"/>
        <v>401324.47</v>
      </c>
      <c r="O231" s="64"/>
      <c r="P231" s="65"/>
      <c r="Q231" s="65"/>
      <c r="R231" s="64">
        <f>+'[12]Приложение № 4'!E207</f>
        <v>401324.47</v>
      </c>
      <c r="S231" s="65"/>
      <c r="T231" s="65"/>
      <c r="U231" s="64">
        <f t="shared" si="36"/>
        <v>114.47443379542472</v>
      </c>
      <c r="V231" s="64">
        <f t="shared" si="36"/>
        <v>114.47443379542472</v>
      </c>
      <c r="W231" s="163" t="s">
        <v>495</v>
      </c>
      <c r="X231" s="157"/>
      <c r="Y231" s="158"/>
      <c r="Z231" s="158"/>
      <c r="AA231" s="158"/>
      <c r="AC231" s="164">
        <f>+N231-'[12]Приложение № 4'!E207</f>
        <v>0</v>
      </c>
      <c r="AZ231" s="156">
        <f>+N231-'Приложение №4'!E226</f>
        <v>0</v>
      </c>
    </row>
    <row r="232" spans="1:52" ht="15" x14ac:dyDescent="0.25">
      <c r="A232" s="122">
        <f t="shared" si="32"/>
        <v>215</v>
      </c>
      <c r="B232" s="62">
        <f t="shared" si="33"/>
        <v>215</v>
      </c>
      <c r="C232" s="169" t="s">
        <v>511</v>
      </c>
      <c r="D232" s="62" t="s">
        <v>596</v>
      </c>
      <c r="E232" s="171">
        <v>1972</v>
      </c>
      <c r="F232" s="123"/>
      <c r="G232" s="123" t="s">
        <v>43</v>
      </c>
      <c r="H232" s="123" t="s">
        <v>105</v>
      </c>
      <c r="I232" s="123" t="s">
        <v>105</v>
      </c>
      <c r="J232" s="64">
        <v>2924</v>
      </c>
      <c r="K232" s="64">
        <v>2698.8</v>
      </c>
      <c r="L232" s="64">
        <v>0</v>
      </c>
      <c r="M232" s="124">
        <v>120</v>
      </c>
      <c r="N232" s="95">
        <f t="shared" si="37"/>
        <v>18741.48</v>
      </c>
      <c r="O232" s="64"/>
      <c r="P232" s="65"/>
      <c r="Q232" s="65"/>
      <c r="R232" s="64">
        <f>+'Приложение №4'!E227</f>
        <v>18741.48</v>
      </c>
      <c r="S232" s="65"/>
      <c r="T232" s="65"/>
      <c r="U232" s="64">
        <f t="shared" si="36"/>
        <v>6.9443752779012886</v>
      </c>
      <c r="V232" s="64">
        <f t="shared" si="36"/>
        <v>6.9443752779012886</v>
      </c>
      <c r="W232" s="163" t="s">
        <v>495</v>
      </c>
      <c r="X232" s="173"/>
      <c r="Y232" s="173"/>
      <c r="Z232" s="158"/>
      <c r="AA232" s="158"/>
      <c r="AC232" s="164"/>
      <c r="AZ232" s="156">
        <f>+N232-'Приложение №4'!E227</f>
        <v>0</v>
      </c>
    </row>
    <row r="233" spans="1:52" ht="15" x14ac:dyDescent="0.25">
      <c r="A233" s="122">
        <f t="shared" si="32"/>
        <v>216</v>
      </c>
      <c r="B233" s="62">
        <f t="shared" si="33"/>
        <v>216</v>
      </c>
      <c r="C233" s="169" t="s">
        <v>511</v>
      </c>
      <c r="D233" s="62" t="s">
        <v>597</v>
      </c>
      <c r="E233" s="171">
        <v>1958</v>
      </c>
      <c r="F233" s="123"/>
      <c r="G233" s="123" t="s">
        <v>43</v>
      </c>
      <c r="H233" s="123" t="s">
        <v>98</v>
      </c>
      <c r="I233" s="123" t="s">
        <v>101</v>
      </c>
      <c r="J233" s="64">
        <v>668.99</v>
      </c>
      <c r="K233" s="64">
        <v>579.9</v>
      </c>
      <c r="L233" s="64">
        <v>0</v>
      </c>
      <c r="M233" s="124">
        <v>26</v>
      </c>
      <c r="N233" s="95">
        <f t="shared" si="37"/>
        <v>58639.08</v>
      </c>
      <c r="O233" s="64"/>
      <c r="P233" s="65"/>
      <c r="Q233" s="65"/>
      <c r="R233" s="64">
        <f>+'Приложение №4'!E228</f>
        <v>58639.08</v>
      </c>
      <c r="S233" s="65"/>
      <c r="T233" s="65"/>
      <c r="U233" s="64">
        <f t="shared" si="36"/>
        <v>101.11929643041904</v>
      </c>
      <c r="V233" s="64">
        <f t="shared" si="36"/>
        <v>101.11929643041904</v>
      </c>
      <c r="W233" s="163" t="s">
        <v>495</v>
      </c>
      <c r="X233" s="173"/>
      <c r="Y233" s="173"/>
      <c r="Z233" s="158"/>
      <c r="AA233" s="158"/>
      <c r="AC233" s="164"/>
      <c r="AZ233" s="156">
        <f>+N233-'Приложение №4'!E228</f>
        <v>0</v>
      </c>
    </row>
    <row r="234" spans="1:52" ht="15" x14ac:dyDescent="0.25">
      <c r="A234" s="122">
        <f t="shared" si="32"/>
        <v>217</v>
      </c>
      <c r="B234" s="62">
        <f t="shared" si="33"/>
        <v>217</v>
      </c>
      <c r="C234" s="169" t="s">
        <v>511</v>
      </c>
      <c r="D234" s="62" t="s">
        <v>598</v>
      </c>
      <c r="E234" s="171">
        <v>1959</v>
      </c>
      <c r="F234" s="123"/>
      <c r="G234" s="123" t="s">
        <v>43</v>
      </c>
      <c r="H234" s="123" t="s">
        <v>98</v>
      </c>
      <c r="I234" s="123" t="s">
        <v>101</v>
      </c>
      <c r="J234" s="64">
        <v>859.4</v>
      </c>
      <c r="K234" s="64">
        <v>778</v>
      </c>
      <c r="L234" s="64">
        <v>0</v>
      </c>
      <c r="M234" s="124">
        <v>21</v>
      </c>
      <c r="N234" s="95">
        <f t="shared" si="37"/>
        <v>58639.08</v>
      </c>
      <c r="O234" s="64"/>
      <c r="P234" s="65"/>
      <c r="Q234" s="65"/>
      <c r="R234" s="64">
        <f>+'Приложение №4'!E229</f>
        <v>58639.08</v>
      </c>
      <c r="S234" s="65"/>
      <c r="T234" s="65"/>
      <c r="U234" s="64">
        <f t="shared" si="36"/>
        <v>75.371568123393317</v>
      </c>
      <c r="V234" s="64">
        <f t="shared" si="36"/>
        <v>75.371568123393317</v>
      </c>
      <c r="W234" s="163" t="s">
        <v>495</v>
      </c>
      <c r="X234" s="173"/>
      <c r="Y234" s="173"/>
      <c r="Z234" s="158"/>
      <c r="AA234" s="158"/>
      <c r="AC234" s="164"/>
      <c r="AZ234" s="156">
        <f>+N234-'Приложение №4'!E229</f>
        <v>0</v>
      </c>
    </row>
    <row r="235" spans="1:52" ht="15" x14ac:dyDescent="0.25">
      <c r="A235" s="122">
        <f t="shared" si="32"/>
        <v>218</v>
      </c>
      <c r="B235" s="62">
        <f t="shared" si="33"/>
        <v>218</v>
      </c>
      <c r="C235" s="62" t="s">
        <v>53</v>
      </c>
      <c r="D235" s="102" t="s">
        <v>162</v>
      </c>
      <c r="E235" s="123" t="s">
        <v>115</v>
      </c>
      <c r="F235" s="123"/>
      <c r="G235" s="123" t="s">
        <v>96</v>
      </c>
      <c r="H235" s="123" t="s">
        <v>98</v>
      </c>
      <c r="I235" s="123" t="s">
        <v>98</v>
      </c>
      <c r="J235" s="64">
        <v>1101.3</v>
      </c>
      <c r="K235" s="64">
        <v>1042.5999999999999</v>
      </c>
      <c r="L235" s="64">
        <v>0</v>
      </c>
      <c r="M235" s="124">
        <v>21</v>
      </c>
      <c r="N235" s="95">
        <f t="shared" si="37"/>
        <v>270010.12</v>
      </c>
      <c r="O235" s="64">
        <v>0</v>
      </c>
      <c r="P235" s="64"/>
      <c r="Q235" s="64"/>
      <c r="R235" s="64">
        <f>+'[12]Приложение № 4'!E208</f>
        <v>270010.12</v>
      </c>
      <c r="S235" s="64"/>
      <c r="T235" s="64"/>
      <c r="U235" s="64">
        <f t="shared" si="36"/>
        <v>258.97767120659893</v>
      </c>
      <c r="V235" s="64">
        <f t="shared" si="36"/>
        <v>258.97767120659893</v>
      </c>
      <c r="W235" s="163" t="s">
        <v>495</v>
      </c>
      <c r="X235" s="174" t="e">
        <f>+N235-#REF!</f>
        <v>#REF!</v>
      </c>
      <c r="Y235" s="175">
        <v>436948.8</v>
      </c>
      <c r="Z235" s="176">
        <f>+(K235*9.1+L235*18.19)*12</f>
        <v>113851.91999999998</v>
      </c>
      <c r="AA235" s="164"/>
      <c r="AB235" s="164" t="e">
        <f>+N235-#REF!</f>
        <v>#REF!</v>
      </c>
      <c r="AC235" s="164">
        <f>+N235-'[12]Приложение № 4'!E208</f>
        <v>0</v>
      </c>
      <c r="AE235" s="165" t="e">
        <f>+N235-#REF!</f>
        <v>#REF!</v>
      </c>
      <c r="AG235" s="3" t="s">
        <v>162</v>
      </c>
      <c r="AH235" s="4">
        <f t="shared" ref="AH235:AH298" si="38">SUM(AI235:AW235)</f>
        <v>285461.94917759998</v>
      </c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>
        <v>261461.94917760001</v>
      </c>
      <c r="AV235" s="4">
        <v>24000</v>
      </c>
      <c r="AW235" s="4"/>
      <c r="AZ235" s="156">
        <f>+N235-'Приложение №4'!E230</f>
        <v>0</v>
      </c>
    </row>
    <row r="236" spans="1:52" ht="15" x14ac:dyDescent="0.25">
      <c r="A236" s="122">
        <f t="shared" si="32"/>
        <v>219</v>
      </c>
      <c r="B236" s="62">
        <f t="shared" si="33"/>
        <v>219</v>
      </c>
      <c r="C236" s="62" t="s">
        <v>53</v>
      </c>
      <c r="D236" s="62" t="s">
        <v>496</v>
      </c>
      <c r="E236" s="123" t="s">
        <v>497</v>
      </c>
      <c r="F236" s="123"/>
      <c r="G236" s="123" t="s">
        <v>96</v>
      </c>
      <c r="H236" s="123" t="s">
        <v>98</v>
      </c>
      <c r="I236" s="123" t="s">
        <v>98</v>
      </c>
      <c r="J236" s="64">
        <v>705.92</v>
      </c>
      <c r="K236" s="64">
        <v>657.52</v>
      </c>
      <c r="L236" s="64">
        <v>0</v>
      </c>
      <c r="M236" s="124">
        <v>28</v>
      </c>
      <c r="N236" s="95">
        <f t="shared" ref="N236:N311" si="39">+P236+Q236+R236+S236+T236</f>
        <v>161111.72</v>
      </c>
      <c r="O236" s="64">
        <v>0</v>
      </c>
      <c r="P236" s="64"/>
      <c r="Q236" s="64"/>
      <c r="R236" s="64">
        <f>+'[12]Приложение № 4'!E209</f>
        <v>161111.72</v>
      </c>
      <c r="S236" s="64"/>
      <c r="T236" s="64"/>
      <c r="U236" s="64">
        <f t="shared" si="36"/>
        <v>245.02938313663464</v>
      </c>
      <c r="V236" s="64">
        <f t="shared" si="36"/>
        <v>245.02938313663464</v>
      </c>
      <c r="W236" s="163" t="s">
        <v>495</v>
      </c>
      <c r="X236" s="156" t="e">
        <f>+N236-#REF!</f>
        <v>#REF!</v>
      </c>
      <c r="Y236" s="153">
        <v>203672.37</v>
      </c>
      <c r="Z236" s="153">
        <f>+(K236*9.1+L236*18.19)*12</f>
        <v>71801.183999999994</v>
      </c>
      <c r="AB236" s="156" t="e">
        <f>+N236-#REF!</f>
        <v>#REF!</v>
      </c>
      <c r="AC236" s="164">
        <f>+N236-'[12]Приложение № 4'!E209</f>
        <v>0</v>
      </c>
      <c r="AE236" s="165" t="e">
        <f>+N236-#REF!</f>
        <v>#REF!</v>
      </c>
      <c r="AG236" s="6" t="s">
        <v>496</v>
      </c>
      <c r="AH236" s="4">
        <f t="shared" si="38"/>
        <v>175955.52528383999</v>
      </c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>
        <v>151955.52528383999</v>
      </c>
      <c r="AV236" s="4">
        <v>24000</v>
      </c>
      <c r="AW236" s="4"/>
      <c r="AZ236" s="156">
        <f>+N236-'Приложение №4'!E231</f>
        <v>0</v>
      </c>
    </row>
    <row r="237" spans="1:52" ht="15" x14ac:dyDescent="0.25">
      <c r="A237" s="122">
        <f t="shared" si="32"/>
        <v>220</v>
      </c>
      <c r="B237" s="62">
        <f t="shared" si="33"/>
        <v>220</v>
      </c>
      <c r="C237" s="62" t="s">
        <v>53</v>
      </c>
      <c r="D237" s="62" t="s">
        <v>498</v>
      </c>
      <c r="E237" s="123" t="s">
        <v>497</v>
      </c>
      <c r="F237" s="123"/>
      <c r="G237" s="123" t="s">
        <v>96</v>
      </c>
      <c r="H237" s="123" t="s">
        <v>98</v>
      </c>
      <c r="I237" s="123" t="s">
        <v>98</v>
      </c>
      <c r="J237" s="64">
        <v>670.73</v>
      </c>
      <c r="K237" s="64">
        <v>622.33000000000004</v>
      </c>
      <c r="L237" s="64">
        <v>0</v>
      </c>
      <c r="M237" s="124">
        <v>36</v>
      </c>
      <c r="N237" s="95">
        <f t="shared" si="39"/>
        <v>159616.04999999999</v>
      </c>
      <c r="O237" s="64">
        <v>0</v>
      </c>
      <c r="P237" s="64"/>
      <c r="Q237" s="64"/>
      <c r="R237" s="64">
        <f>+'[12]Приложение № 4'!E210</f>
        <v>159616.04999999999</v>
      </c>
      <c r="S237" s="64"/>
      <c r="T237" s="64"/>
      <c r="U237" s="64">
        <f t="shared" si="36"/>
        <v>256.48136840582964</v>
      </c>
      <c r="V237" s="64">
        <f t="shared" si="36"/>
        <v>256.48136840582964</v>
      </c>
      <c r="W237" s="163" t="s">
        <v>495</v>
      </c>
      <c r="X237" s="156" t="e">
        <f>+N237-#REF!</f>
        <v>#REF!</v>
      </c>
      <c r="Y237" s="153">
        <v>212437.56</v>
      </c>
      <c r="Z237" s="153">
        <f t="shared" ref="Z237:Z270" si="40">+(K237*9.1+L237*18.19)*12</f>
        <v>67958.436000000002</v>
      </c>
      <c r="AB237" s="156" t="e">
        <f>+N237-#REF!</f>
        <v>#REF!</v>
      </c>
      <c r="AC237" s="164">
        <f>+N237-'[12]Приложение № 4'!E210</f>
        <v>0</v>
      </c>
      <c r="AE237" s="165" t="e">
        <f>+N237-#REF!</f>
        <v>#REF!</v>
      </c>
      <c r="AG237" s="6" t="s">
        <v>498</v>
      </c>
      <c r="AH237" s="4">
        <f t="shared" si="38"/>
        <v>174451.49229695997</v>
      </c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>
        <v>150451.49229695997</v>
      </c>
      <c r="AV237" s="4">
        <v>24000</v>
      </c>
      <c r="AW237" s="4"/>
      <c r="AZ237" s="156">
        <f>+N237-'Приложение №4'!E232</f>
        <v>0</v>
      </c>
    </row>
    <row r="238" spans="1:52" ht="15" x14ac:dyDescent="0.25">
      <c r="A238" s="122">
        <f t="shared" si="32"/>
        <v>221</v>
      </c>
      <c r="B238" s="62">
        <f t="shared" si="33"/>
        <v>221</v>
      </c>
      <c r="C238" s="62" t="s">
        <v>53</v>
      </c>
      <c r="D238" s="62" t="s">
        <v>499</v>
      </c>
      <c r="E238" s="123" t="s">
        <v>124</v>
      </c>
      <c r="F238" s="123"/>
      <c r="G238" s="123" t="s">
        <v>96</v>
      </c>
      <c r="H238" s="123" t="s">
        <v>98</v>
      </c>
      <c r="I238" s="123" t="s">
        <v>98</v>
      </c>
      <c r="J238" s="64">
        <v>765.34</v>
      </c>
      <c r="K238" s="64">
        <v>702.06</v>
      </c>
      <c r="L238" s="64">
        <v>0</v>
      </c>
      <c r="M238" s="124">
        <v>32</v>
      </c>
      <c r="N238" s="95">
        <f t="shared" si="39"/>
        <v>163637.26999999999</v>
      </c>
      <c r="O238" s="64">
        <v>0</v>
      </c>
      <c r="P238" s="64"/>
      <c r="Q238" s="64"/>
      <c r="R238" s="64">
        <f>+'[12]Приложение № 4'!E211</f>
        <v>163637.26999999999</v>
      </c>
      <c r="S238" s="64"/>
      <c r="T238" s="64"/>
      <c r="U238" s="64">
        <f t="shared" si="36"/>
        <v>233.08160271201891</v>
      </c>
      <c r="V238" s="64">
        <f t="shared" si="36"/>
        <v>233.08160271201891</v>
      </c>
      <c r="W238" s="163" t="s">
        <v>495</v>
      </c>
      <c r="X238" s="156" t="e">
        <f>+N238-#REF!</f>
        <v>#REF!</v>
      </c>
      <c r="Y238" s="153">
        <v>271286.36</v>
      </c>
      <c r="Z238" s="153">
        <f t="shared" si="40"/>
        <v>76664.95199999999</v>
      </c>
      <c r="AB238" s="156" t="e">
        <f>+N238-#REF!</f>
        <v>#REF!</v>
      </c>
      <c r="AC238" s="164">
        <f>+N238-'[12]Приложение № 4'!E211</f>
        <v>0</v>
      </c>
      <c r="AE238" s="165" t="e">
        <f>+N238-#REF!</f>
        <v>#REF!</v>
      </c>
      <c r="AG238" s="6" t="s">
        <v>499</v>
      </c>
      <c r="AH238" s="4">
        <f t="shared" si="38"/>
        <v>178495.15699968001</v>
      </c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>
        <v>154495.15699968001</v>
      </c>
      <c r="AV238" s="4">
        <v>24000</v>
      </c>
      <c r="AW238" s="4"/>
      <c r="AZ238" s="156">
        <f>+N238-'Приложение №4'!E233</f>
        <v>0</v>
      </c>
    </row>
    <row r="239" spans="1:52" ht="15" x14ac:dyDescent="0.25">
      <c r="A239" s="122">
        <f t="shared" si="32"/>
        <v>222</v>
      </c>
      <c r="B239" s="62">
        <f t="shared" si="33"/>
        <v>222</v>
      </c>
      <c r="C239" s="62" t="s">
        <v>53</v>
      </c>
      <c r="D239" s="62" t="s">
        <v>163</v>
      </c>
      <c r="E239" s="123" t="s">
        <v>134</v>
      </c>
      <c r="F239" s="123"/>
      <c r="G239" s="123" t="s">
        <v>96</v>
      </c>
      <c r="H239" s="123" t="s">
        <v>98</v>
      </c>
      <c r="I239" s="123" t="s">
        <v>98</v>
      </c>
      <c r="J239" s="64">
        <v>776.85</v>
      </c>
      <c r="K239" s="64">
        <v>719.65</v>
      </c>
      <c r="L239" s="64">
        <v>0</v>
      </c>
      <c r="M239" s="124">
        <v>30</v>
      </c>
      <c r="N239" s="95">
        <f t="shared" si="39"/>
        <v>244655.29</v>
      </c>
      <c r="O239" s="64">
        <v>0</v>
      </c>
      <c r="P239" s="64"/>
      <c r="Q239" s="64"/>
      <c r="R239" s="64">
        <f>+'[12]Приложение № 4'!E212</f>
        <v>244655.29</v>
      </c>
      <c r="S239" s="64"/>
      <c r="T239" s="64"/>
      <c r="U239" s="64">
        <f t="shared" si="36"/>
        <v>339.96427430000699</v>
      </c>
      <c r="V239" s="64">
        <f t="shared" si="36"/>
        <v>339.96427430000699</v>
      </c>
      <c r="W239" s="163" t="s">
        <v>495</v>
      </c>
      <c r="X239" s="156" t="e">
        <f>+N239-#REF!</f>
        <v>#REF!</v>
      </c>
      <c r="Y239" s="153">
        <v>268535.65000000002</v>
      </c>
      <c r="Z239" s="153">
        <f t="shared" si="40"/>
        <v>78585.78</v>
      </c>
      <c r="AB239" s="156" t="e">
        <f>+N239-#REF!</f>
        <v>#REF!</v>
      </c>
      <c r="AC239" s="164">
        <f>+N239-'[12]Приложение № 4'!E212</f>
        <v>0</v>
      </c>
      <c r="AE239" s="165" t="e">
        <f>+N239-#REF!</f>
        <v>#REF!</v>
      </c>
      <c r="AG239" s="3" t="s">
        <v>163</v>
      </c>
      <c r="AH239" s="4">
        <f t="shared" si="38"/>
        <v>259965.58269119999</v>
      </c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>
        <v>235965.58269119999</v>
      </c>
      <c r="AV239" s="4">
        <v>24000</v>
      </c>
      <c r="AW239" s="4"/>
      <c r="AZ239" s="156">
        <f>+N239-'Приложение №4'!E234</f>
        <v>0</v>
      </c>
    </row>
    <row r="240" spans="1:52" ht="15" x14ac:dyDescent="0.25">
      <c r="A240" s="122">
        <f t="shared" si="32"/>
        <v>223</v>
      </c>
      <c r="B240" s="62">
        <f t="shared" si="33"/>
        <v>223</v>
      </c>
      <c r="C240" s="62" t="s">
        <v>53</v>
      </c>
      <c r="D240" s="62" t="s">
        <v>164</v>
      </c>
      <c r="E240" s="123" t="s">
        <v>500</v>
      </c>
      <c r="F240" s="123"/>
      <c r="G240" s="123" t="s">
        <v>96</v>
      </c>
      <c r="H240" s="123" t="s">
        <v>98</v>
      </c>
      <c r="I240" s="123" t="s">
        <v>98</v>
      </c>
      <c r="J240" s="64">
        <v>1093.21</v>
      </c>
      <c r="K240" s="64">
        <v>1011.65</v>
      </c>
      <c r="L240" s="64">
        <v>0</v>
      </c>
      <c r="M240" s="124">
        <v>25</v>
      </c>
      <c r="N240" s="95">
        <f t="shared" si="39"/>
        <v>202894.83</v>
      </c>
      <c r="O240" s="64">
        <v>0</v>
      </c>
      <c r="P240" s="64"/>
      <c r="Q240" s="64"/>
      <c r="R240" s="64">
        <f>+'[12]Приложение № 4'!E213</f>
        <v>202894.83</v>
      </c>
      <c r="S240" s="64"/>
      <c r="T240" s="64"/>
      <c r="U240" s="64">
        <f t="shared" si="36"/>
        <v>200.55832550783373</v>
      </c>
      <c r="V240" s="64">
        <f t="shared" si="36"/>
        <v>200.55832550783373</v>
      </c>
      <c r="W240" s="163" t="s">
        <v>495</v>
      </c>
      <c r="X240" s="156" t="e">
        <f>+N240-#REF!</f>
        <v>#REF!</v>
      </c>
      <c r="Y240" s="153">
        <v>270562.75</v>
      </c>
      <c r="Z240" s="153">
        <f t="shared" si="40"/>
        <v>110472.18</v>
      </c>
      <c r="AB240" s="156" t="e">
        <f>+N240-#REF!</f>
        <v>#REF!</v>
      </c>
      <c r="AC240" s="164">
        <f>+N240-'[12]Приложение № 4'!E213</f>
        <v>0</v>
      </c>
      <c r="AE240" s="165" t="e">
        <f>+N240-#REF!</f>
        <v>#REF!</v>
      </c>
      <c r="AG240" s="3" t="s">
        <v>164</v>
      </c>
      <c r="AH240" s="4">
        <f t="shared" si="38"/>
        <v>217971.94068672002</v>
      </c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>
        <v>193971.94068672002</v>
      </c>
      <c r="AV240" s="4">
        <v>24000</v>
      </c>
      <c r="AW240" s="4"/>
      <c r="AZ240" s="156">
        <f>+N240-'Приложение №4'!E235</f>
        <v>0</v>
      </c>
    </row>
    <row r="241" spans="1:52" ht="15" x14ac:dyDescent="0.25">
      <c r="A241" s="122">
        <f t="shared" si="32"/>
        <v>224</v>
      </c>
      <c r="B241" s="62">
        <f t="shared" si="33"/>
        <v>224</v>
      </c>
      <c r="C241" s="62" t="s">
        <v>53</v>
      </c>
      <c r="D241" s="62" t="s">
        <v>165</v>
      </c>
      <c r="E241" s="123" t="s">
        <v>115</v>
      </c>
      <c r="F241" s="123"/>
      <c r="G241" s="123" t="s">
        <v>96</v>
      </c>
      <c r="H241" s="123" t="s">
        <v>98</v>
      </c>
      <c r="I241" s="123" t="s">
        <v>98</v>
      </c>
      <c r="J241" s="64">
        <v>799.54</v>
      </c>
      <c r="K241" s="64">
        <v>733.84</v>
      </c>
      <c r="L241" s="64">
        <v>0</v>
      </c>
      <c r="M241" s="124">
        <v>29</v>
      </c>
      <c r="N241" s="95">
        <f t="shared" si="39"/>
        <v>139588.24</v>
      </c>
      <c r="O241" s="64">
        <v>0</v>
      </c>
      <c r="P241" s="64"/>
      <c r="Q241" s="64"/>
      <c r="R241" s="64">
        <f>+'[12]Приложение № 4'!E214</f>
        <v>139588.24</v>
      </c>
      <c r="S241" s="64"/>
      <c r="T241" s="64"/>
      <c r="U241" s="64">
        <f t="shared" si="36"/>
        <v>190.21617791344161</v>
      </c>
      <c r="V241" s="64">
        <f t="shared" si="36"/>
        <v>190.21617791344161</v>
      </c>
      <c r="W241" s="163" t="s">
        <v>495</v>
      </c>
      <c r="X241" s="156" t="e">
        <f>+N241-#REF!</f>
        <v>#REF!</v>
      </c>
      <c r="Y241" s="153">
        <v>203994.1</v>
      </c>
      <c r="Z241" s="153">
        <f t="shared" si="40"/>
        <v>80135.328000000009</v>
      </c>
      <c r="AB241" s="156" t="e">
        <f>+N241-#REF!</f>
        <v>#REF!</v>
      </c>
      <c r="AC241" s="164">
        <f>+N241-'[12]Приложение № 4'!E214</f>
        <v>0</v>
      </c>
      <c r="AE241" s="165" t="e">
        <f>+N241-#REF!</f>
        <v>#REF!</v>
      </c>
      <c r="AG241" s="3" t="s">
        <v>165</v>
      </c>
      <c r="AH241" s="4">
        <f t="shared" si="38"/>
        <v>156323.02149002702</v>
      </c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>
        <v>132323.02149002702</v>
      </c>
      <c r="AV241" s="4">
        <v>24000</v>
      </c>
      <c r="AW241" s="4"/>
      <c r="AZ241" s="156">
        <f>+N241-'Приложение №4'!E236</f>
        <v>0</v>
      </c>
    </row>
    <row r="242" spans="1:52" ht="15" x14ac:dyDescent="0.25">
      <c r="A242" s="122">
        <f t="shared" si="32"/>
        <v>225</v>
      </c>
      <c r="B242" s="62">
        <f t="shared" si="33"/>
        <v>225</v>
      </c>
      <c r="C242" s="62" t="s">
        <v>53</v>
      </c>
      <c r="D242" s="62" t="s">
        <v>166</v>
      </c>
      <c r="E242" s="123" t="s">
        <v>115</v>
      </c>
      <c r="F242" s="123"/>
      <c r="G242" s="123" t="s">
        <v>96</v>
      </c>
      <c r="H242" s="123" t="s">
        <v>98</v>
      </c>
      <c r="I242" s="123" t="s">
        <v>98</v>
      </c>
      <c r="J242" s="64">
        <v>715.4</v>
      </c>
      <c r="K242" s="64">
        <v>685</v>
      </c>
      <c r="L242" s="64">
        <v>0</v>
      </c>
      <c r="M242" s="124">
        <v>38</v>
      </c>
      <c r="N242" s="95">
        <f t="shared" si="39"/>
        <v>134430.18</v>
      </c>
      <c r="O242" s="64">
        <v>0</v>
      </c>
      <c r="P242" s="64"/>
      <c r="Q242" s="64"/>
      <c r="R242" s="64">
        <f>+'[12]Приложение № 4'!E215</f>
        <v>134430.18</v>
      </c>
      <c r="S242" s="64"/>
      <c r="T242" s="64"/>
      <c r="U242" s="64">
        <f t="shared" si="36"/>
        <v>196.24843795620436</v>
      </c>
      <c r="V242" s="64">
        <f t="shared" si="36"/>
        <v>196.24843795620436</v>
      </c>
      <c r="W242" s="163" t="s">
        <v>495</v>
      </c>
      <c r="X242" s="156" t="e">
        <f>+N242-#REF!</f>
        <v>#REF!</v>
      </c>
      <c r="Y242" s="153">
        <v>244076.18</v>
      </c>
      <c r="Z242" s="153">
        <f t="shared" si="40"/>
        <v>74802</v>
      </c>
      <c r="AB242" s="156" t="e">
        <f>+N242-#REF!</f>
        <v>#REF!</v>
      </c>
      <c r="AC242" s="164">
        <f>+N242-'[12]Приложение № 4'!E215</f>
        <v>0</v>
      </c>
      <c r="AE242" s="165" t="e">
        <f>+N242-#REF!</f>
        <v>#REF!</v>
      </c>
      <c r="AG242" s="3" t="s">
        <v>166</v>
      </c>
      <c r="AH242" s="4">
        <f t="shared" si="38"/>
        <v>151136.14192506357</v>
      </c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>
        <v>127136.14192506355</v>
      </c>
      <c r="AV242" s="4">
        <v>24000</v>
      </c>
      <c r="AW242" s="4"/>
      <c r="AZ242" s="156">
        <f>+N242-'Приложение №4'!E237</f>
        <v>0</v>
      </c>
    </row>
    <row r="243" spans="1:52" ht="15" x14ac:dyDescent="0.25">
      <c r="A243" s="122">
        <f t="shared" si="32"/>
        <v>226</v>
      </c>
      <c r="B243" s="62">
        <f t="shared" si="33"/>
        <v>226</v>
      </c>
      <c r="C243" s="62" t="s">
        <v>53</v>
      </c>
      <c r="D243" s="62" t="s">
        <v>167</v>
      </c>
      <c r="E243" s="123" t="s">
        <v>131</v>
      </c>
      <c r="F243" s="123"/>
      <c r="G243" s="123" t="s">
        <v>96</v>
      </c>
      <c r="H243" s="123" t="s">
        <v>98</v>
      </c>
      <c r="I243" s="123" t="s">
        <v>98</v>
      </c>
      <c r="J243" s="64">
        <v>694.82</v>
      </c>
      <c r="K243" s="64">
        <v>645.54</v>
      </c>
      <c r="L243" s="64">
        <v>0</v>
      </c>
      <c r="M243" s="124">
        <v>28</v>
      </c>
      <c r="N243" s="95">
        <f t="shared" si="39"/>
        <v>113169.23</v>
      </c>
      <c r="O243" s="64">
        <v>0</v>
      </c>
      <c r="P243" s="64"/>
      <c r="Q243" s="64"/>
      <c r="R243" s="64">
        <f>+'[12]Приложение № 4'!E216</f>
        <v>113169.23</v>
      </c>
      <c r="S243" s="64"/>
      <c r="T243" s="64"/>
      <c r="U243" s="64">
        <f t="shared" si="36"/>
        <v>175.3093998822691</v>
      </c>
      <c r="V243" s="64">
        <f t="shared" si="36"/>
        <v>175.3093998822691</v>
      </c>
      <c r="W243" s="163" t="s">
        <v>495</v>
      </c>
      <c r="X243" s="156" t="e">
        <f>+N243-#REF!</f>
        <v>#REF!</v>
      </c>
      <c r="Y243" s="153">
        <v>259897.89</v>
      </c>
      <c r="Z243" s="153">
        <f t="shared" si="40"/>
        <v>70492.967999999993</v>
      </c>
      <c r="AB243" s="156" t="e">
        <f>+N243-#REF!</f>
        <v>#REF!</v>
      </c>
      <c r="AC243" s="164">
        <f>+N243-'[12]Приложение № 4'!E216</f>
        <v>0</v>
      </c>
      <c r="AE243" s="165" t="e">
        <f>+N243-#REF!</f>
        <v>#REF!</v>
      </c>
      <c r="AG243" s="3" t="s">
        <v>167</v>
      </c>
      <c r="AH243" s="4">
        <f t="shared" si="38"/>
        <v>129756.4777405632</v>
      </c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>
        <v>89046.327675283203</v>
      </c>
      <c r="AV243" s="4">
        <v>40710.150065280002</v>
      </c>
      <c r="AW243" s="4"/>
      <c r="AZ243" s="156">
        <f>+N243-'Приложение №4'!E238</f>
        <v>0</v>
      </c>
    </row>
    <row r="244" spans="1:52" ht="15" x14ac:dyDescent="0.25">
      <c r="A244" s="122">
        <f t="shared" si="32"/>
        <v>227</v>
      </c>
      <c r="B244" s="62">
        <f t="shared" si="33"/>
        <v>227</v>
      </c>
      <c r="C244" s="62" t="s">
        <v>53</v>
      </c>
      <c r="D244" s="62" t="s">
        <v>168</v>
      </c>
      <c r="E244" s="123" t="s">
        <v>501</v>
      </c>
      <c r="F244" s="123"/>
      <c r="G244" s="123" t="s">
        <v>96</v>
      </c>
      <c r="H244" s="123" t="s">
        <v>98</v>
      </c>
      <c r="I244" s="123" t="s">
        <v>98</v>
      </c>
      <c r="J244" s="64">
        <v>670.37</v>
      </c>
      <c r="K244" s="64">
        <v>619.16999999999996</v>
      </c>
      <c r="L244" s="64">
        <v>0</v>
      </c>
      <c r="M244" s="124">
        <v>30</v>
      </c>
      <c r="N244" s="95">
        <f t="shared" si="39"/>
        <v>375830.81</v>
      </c>
      <c r="O244" s="64">
        <v>0</v>
      </c>
      <c r="P244" s="64"/>
      <c r="Q244" s="64"/>
      <c r="R244" s="64">
        <f>+'[12]Приложение № 4'!E217</f>
        <v>375830.81</v>
      </c>
      <c r="S244" s="64"/>
      <c r="T244" s="64"/>
      <c r="U244" s="64">
        <f t="shared" si="36"/>
        <v>606.99131094852794</v>
      </c>
      <c r="V244" s="64">
        <f t="shared" si="36"/>
        <v>606.99131094852794</v>
      </c>
      <c r="W244" s="163" t="s">
        <v>495</v>
      </c>
      <c r="X244" s="156" t="e">
        <f>+N244-#REF!</f>
        <v>#REF!</v>
      </c>
      <c r="Y244" s="153">
        <v>172036.2</v>
      </c>
      <c r="Z244" s="153">
        <f t="shared" si="40"/>
        <v>67613.363999999987</v>
      </c>
      <c r="AB244" s="156" t="e">
        <f>+N244-#REF!</f>
        <v>#REF!</v>
      </c>
      <c r="AC244" s="164">
        <f>+N244-'[12]Приложение № 4'!E217</f>
        <v>0</v>
      </c>
      <c r="AE244" s="165" t="e">
        <f>+N244-#REF!</f>
        <v>#REF!</v>
      </c>
      <c r="AG244" s="3" t="s">
        <v>168</v>
      </c>
      <c r="AH244" s="4">
        <f t="shared" si="38"/>
        <v>377718.64912411768</v>
      </c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>
        <v>353718.64912411768</v>
      </c>
      <c r="AV244" s="4">
        <v>24000</v>
      </c>
      <c r="AW244" s="4"/>
      <c r="AZ244" s="156">
        <f>+N244-'Приложение №4'!E239</f>
        <v>0</v>
      </c>
    </row>
    <row r="245" spans="1:52" ht="15" x14ac:dyDescent="0.25">
      <c r="A245" s="122">
        <f t="shared" si="32"/>
        <v>228</v>
      </c>
      <c r="B245" s="62">
        <f t="shared" si="33"/>
        <v>228</v>
      </c>
      <c r="C245" s="62" t="s">
        <v>53</v>
      </c>
      <c r="D245" s="62" t="s">
        <v>169</v>
      </c>
      <c r="E245" s="123" t="s">
        <v>497</v>
      </c>
      <c r="F245" s="123"/>
      <c r="G245" s="123" t="s">
        <v>96</v>
      </c>
      <c r="H245" s="123" t="s">
        <v>98</v>
      </c>
      <c r="I245" s="123" t="s">
        <v>98</v>
      </c>
      <c r="J245" s="64">
        <v>670.83</v>
      </c>
      <c r="K245" s="64">
        <v>618.66999999999996</v>
      </c>
      <c r="L245" s="64">
        <v>0</v>
      </c>
      <c r="M245" s="124">
        <v>37</v>
      </c>
      <c r="N245" s="95">
        <f t="shared" si="39"/>
        <v>252162.69</v>
      </c>
      <c r="O245" s="64">
        <v>0</v>
      </c>
      <c r="P245" s="64"/>
      <c r="Q245" s="64"/>
      <c r="R245" s="64">
        <f>+'[12]Приложение № 4'!E218</f>
        <v>252162.69</v>
      </c>
      <c r="S245" s="64"/>
      <c r="T245" s="64"/>
      <c r="U245" s="64">
        <f t="shared" si="36"/>
        <v>407.58835889892839</v>
      </c>
      <c r="V245" s="64">
        <f t="shared" si="36"/>
        <v>407.58835889892839</v>
      </c>
      <c r="W245" s="163" t="s">
        <v>495</v>
      </c>
      <c r="X245" s="156" t="e">
        <f>+N245-#REF!</f>
        <v>#REF!</v>
      </c>
      <c r="Y245" s="153">
        <v>214977.75</v>
      </c>
      <c r="Z245" s="153">
        <f t="shared" si="40"/>
        <v>67558.763999999996</v>
      </c>
      <c r="AB245" s="156" t="e">
        <f>+N245-#REF!</f>
        <v>#REF!</v>
      </c>
      <c r="AC245" s="164">
        <f>+N245-'[12]Приложение № 4'!E218</f>
        <v>0</v>
      </c>
      <c r="AE245" s="165" t="e">
        <f>+N245-#REF!</f>
        <v>#REF!</v>
      </c>
      <c r="AG245" s="3" t="s">
        <v>169</v>
      </c>
      <c r="AH245" s="4">
        <f t="shared" si="38"/>
        <v>253386.96196416</v>
      </c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>
        <v>229386.96196416</v>
      </c>
      <c r="AV245" s="4">
        <v>24000</v>
      </c>
      <c r="AW245" s="4"/>
      <c r="AZ245" s="156">
        <f>+N245-'Приложение №4'!E240</f>
        <v>0</v>
      </c>
    </row>
    <row r="246" spans="1:52" ht="15" x14ac:dyDescent="0.25">
      <c r="A246" s="122">
        <f t="shared" si="32"/>
        <v>229</v>
      </c>
      <c r="B246" s="62">
        <f t="shared" si="33"/>
        <v>229</v>
      </c>
      <c r="C246" s="62" t="s">
        <v>53</v>
      </c>
      <c r="D246" s="62" t="s">
        <v>170</v>
      </c>
      <c r="E246" s="123" t="s">
        <v>115</v>
      </c>
      <c r="F246" s="123"/>
      <c r="G246" s="123" t="s">
        <v>96</v>
      </c>
      <c r="H246" s="123" t="s">
        <v>105</v>
      </c>
      <c r="I246" s="123" t="s">
        <v>98</v>
      </c>
      <c r="J246" s="64">
        <v>1343.33</v>
      </c>
      <c r="K246" s="64">
        <v>1245.6199999999999</v>
      </c>
      <c r="L246" s="64">
        <v>0</v>
      </c>
      <c r="M246" s="124">
        <v>45</v>
      </c>
      <c r="N246" s="95">
        <f t="shared" si="39"/>
        <v>201169.38</v>
      </c>
      <c r="O246" s="64">
        <v>0</v>
      </c>
      <c r="P246" s="64"/>
      <c r="Q246" s="64"/>
      <c r="R246" s="64">
        <f>+'[12]Приложение № 4'!E219</f>
        <v>201169.38</v>
      </c>
      <c r="S246" s="64"/>
      <c r="T246" s="64"/>
      <c r="U246" s="64">
        <f t="shared" si="36"/>
        <v>161.50140492284967</v>
      </c>
      <c r="V246" s="64">
        <f t="shared" si="36"/>
        <v>161.50140492284967</v>
      </c>
      <c r="W246" s="163" t="s">
        <v>495</v>
      </c>
      <c r="X246" s="156" t="e">
        <f>+N246-#REF!</f>
        <v>#REF!</v>
      </c>
      <c r="Y246" s="153">
        <v>396446.68</v>
      </c>
      <c r="Z246" s="153">
        <f t="shared" si="40"/>
        <v>136021.70399999997</v>
      </c>
      <c r="AB246" s="156" t="e">
        <f>+N246-#REF!</f>
        <v>#REF!</v>
      </c>
      <c r="AC246" s="164">
        <f>+N246-'[12]Приложение № 4'!E219</f>
        <v>0</v>
      </c>
      <c r="AE246" s="165" t="e">
        <f>+N246-#REF!</f>
        <v>#REF!</v>
      </c>
      <c r="AG246" s="3" t="s">
        <v>170</v>
      </c>
      <c r="AH246" s="4">
        <f t="shared" si="38"/>
        <v>202120.03291058214</v>
      </c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>
        <v>178120.03291058214</v>
      </c>
      <c r="AV246" s="4">
        <v>24000</v>
      </c>
      <c r="AW246" s="4"/>
      <c r="AZ246" s="156">
        <f>+N246-'Приложение №4'!E241</f>
        <v>0</v>
      </c>
    </row>
    <row r="247" spans="1:52" ht="15" x14ac:dyDescent="0.25">
      <c r="A247" s="122">
        <f t="shared" si="32"/>
        <v>230</v>
      </c>
      <c r="B247" s="62">
        <f t="shared" si="33"/>
        <v>230</v>
      </c>
      <c r="C247" s="62" t="s">
        <v>53</v>
      </c>
      <c r="D247" s="62" t="s">
        <v>171</v>
      </c>
      <c r="E247" s="123" t="s">
        <v>131</v>
      </c>
      <c r="F247" s="123"/>
      <c r="G247" s="123" t="s">
        <v>96</v>
      </c>
      <c r="H247" s="123" t="s">
        <v>98</v>
      </c>
      <c r="I247" s="123" t="s">
        <v>98</v>
      </c>
      <c r="J247" s="64">
        <v>670.4</v>
      </c>
      <c r="K247" s="64">
        <v>618</v>
      </c>
      <c r="L247" s="64">
        <v>0</v>
      </c>
      <c r="M247" s="124">
        <v>27</v>
      </c>
      <c r="N247" s="95">
        <f t="shared" si="39"/>
        <v>352845.43</v>
      </c>
      <c r="O247" s="64">
        <v>0</v>
      </c>
      <c r="P247" s="64"/>
      <c r="Q247" s="64"/>
      <c r="R247" s="64">
        <f>+'[12]Приложение № 4'!E220</f>
        <v>352845.43</v>
      </c>
      <c r="S247" s="64"/>
      <c r="T247" s="64"/>
      <c r="U247" s="64">
        <f t="shared" si="36"/>
        <v>570.9472977346278</v>
      </c>
      <c r="V247" s="64">
        <f t="shared" si="36"/>
        <v>570.9472977346278</v>
      </c>
      <c r="W247" s="163" t="s">
        <v>495</v>
      </c>
      <c r="X247" s="156" t="e">
        <f>+N247-#REF!</f>
        <v>#REF!</v>
      </c>
      <c r="Y247" s="153">
        <v>222705.18</v>
      </c>
      <c r="Z247" s="153">
        <f t="shared" si="40"/>
        <v>67485.600000000006</v>
      </c>
      <c r="AB247" s="156" t="e">
        <f>+N247-#REF!</f>
        <v>#REF!</v>
      </c>
      <c r="AC247" s="164">
        <f>+N247-'[12]Приложение № 4'!E220</f>
        <v>0</v>
      </c>
      <c r="AE247" s="165" t="e">
        <f>+N247-#REF!</f>
        <v>#REF!</v>
      </c>
      <c r="AG247" s="3" t="s">
        <v>171</v>
      </c>
      <c r="AH247" s="4">
        <f t="shared" si="38"/>
        <v>354609.94305657753</v>
      </c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>
        <v>330609.94305657753</v>
      </c>
      <c r="AV247" s="4">
        <v>24000</v>
      </c>
      <c r="AW247" s="4"/>
      <c r="AZ247" s="156">
        <f>+N247-'Приложение №4'!E242</f>
        <v>0</v>
      </c>
    </row>
    <row r="248" spans="1:52" ht="15" x14ac:dyDescent="0.25">
      <c r="A248" s="122">
        <f t="shared" si="32"/>
        <v>231</v>
      </c>
      <c r="B248" s="62">
        <f t="shared" si="33"/>
        <v>231</v>
      </c>
      <c r="C248" s="62" t="s">
        <v>53</v>
      </c>
      <c r="D248" s="62" t="s">
        <v>172</v>
      </c>
      <c r="E248" s="123" t="s">
        <v>497</v>
      </c>
      <c r="F248" s="123"/>
      <c r="G248" s="123" t="s">
        <v>96</v>
      </c>
      <c r="H248" s="123" t="s">
        <v>98</v>
      </c>
      <c r="I248" s="123" t="s">
        <v>98</v>
      </c>
      <c r="J248" s="64">
        <v>676.82</v>
      </c>
      <c r="K248" s="64">
        <v>624.66</v>
      </c>
      <c r="L248" s="64">
        <v>0</v>
      </c>
      <c r="M248" s="124">
        <v>34</v>
      </c>
      <c r="N248" s="95">
        <f t="shared" si="39"/>
        <v>252532.38999999998</v>
      </c>
      <c r="O248" s="64">
        <v>0</v>
      </c>
      <c r="P248" s="64"/>
      <c r="Q248" s="64"/>
      <c r="R248" s="64">
        <f>+'[12]Приложение № 4'!E221</f>
        <v>252532.38999999998</v>
      </c>
      <c r="S248" s="64"/>
      <c r="T248" s="64"/>
      <c r="U248" s="64">
        <f t="shared" si="36"/>
        <v>404.27174783081995</v>
      </c>
      <c r="V248" s="64">
        <f t="shared" si="36"/>
        <v>404.27174783081995</v>
      </c>
      <c r="W248" s="163" t="s">
        <v>495</v>
      </c>
      <c r="X248" s="156" t="e">
        <f>+N248-#REF!</f>
        <v>#REF!</v>
      </c>
      <c r="Y248" s="153">
        <v>196222.01</v>
      </c>
      <c r="Z248" s="153">
        <f t="shared" si="40"/>
        <v>68212.871999999988</v>
      </c>
      <c r="AB248" s="156" t="e">
        <f>+N248-#REF!</f>
        <v>#REF!</v>
      </c>
      <c r="AC248" s="164">
        <f>+N248-'[12]Приложение № 4'!E221</f>
        <v>0</v>
      </c>
      <c r="AE248" s="165" t="e">
        <f>+N248-#REF!</f>
        <v>#REF!</v>
      </c>
      <c r="AG248" s="3" t="s">
        <v>172</v>
      </c>
      <c r="AH248" s="4">
        <f t="shared" si="38"/>
        <v>253758.64596863999</v>
      </c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>
        <v>229758.64596863999</v>
      </c>
      <c r="AV248" s="4">
        <v>24000</v>
      </c>
      <c r="AW248" s="4"/>
      <c r="AZ248" s="156">
        <f>+N248-'Приложение №4'!E243</f>
        <v>0</v>
      </c>
    </row>
    <row r="249" spans="1:52" ht="15" x14ac:dyDescent="0.25">
      <c r="A249" s="122">
        <f t="shared" si="32"/>
        <v>232</v>
      </c>
      <c r="B249" s="62">
        <f t="shared" si="33"/>
        <v>232</v>
      </c>
      <c r="C249" s="62" t="s">
        <v>53</v>
      </c>
      <c r="D249" s="62" t="s">
        <v>173</v>
      </c>
      <c r="E249" s="123" t="s">
        <v>502</v>
      </c>
      <c r="F249" s="123"/>
      <c r="G249" s="123" t="s">
        <v>96</v>
      </c>
      <c r="H249" s="123" t="s">
        <v>98</v>
      </c>
      <c r="I249" s="123" t="s">
        <v>98</v>
      </c>
      <c r="J249" s="64">
        <v>706.48</v>
      </c>
      <c r="K249" s="64">
        <v>656.6</v>
      </c>
      <c r="L249" s="64">
        <v>0</v>
      </c>
      <c r="M249" s="124">
        <v>23</v>
      </c>
      <c r="N249" s="95">
        <f t="shared" si="39"/>
        <v>380273.64</v>
      </c>
      <c r="O249" s="64">
        <v>0</v>
      </c>
      <c r="P249" s="64"/>
      <c r="Q249" s="64"/>
      <c r="R249" s="64">
        <f>+'[12]Приложение № 4'!E222</f>
        <v>380273.64</v>
      </c>
      <c r="S249" s="64"/>
      <c r="T249" s="64"/>
      <c r="U249" s="64">
        <f t="shared" si="36"/>
        <v>579.15571123971972</v>
      </c>
      <c r="V249" s="64">
        <f t="shared" si="36"/>
        <v>579.15571123971972</v>
      </c>
      <c r="W249" s="163" t="s">
        <v>495</v>
      </c>
      <c r="X249" s="156" t="e">
        <f>+N249-#REF!</f>
        <v>#REF!</v>
      </c>
      <c r="Y249" s="153">
        <v>230959.78</v>
      </c>
      <c r="Z249" s="153">
        <f t="shared" si="40"/>
        <v>71700.72</v>
      </c>
      <c r="AB249" s="156" t="e">
        <f>+N249-#REF!</f>
        <v>#REF!</v>
      </c>
      <c r="AC249" s="164">
        <f>+N249-'[12]Приложение № 4'!E222</f>
        <v>0</v>
      </c>
      <c r="AE249" s="165" t="e">
        <f>+N249-#REF!</f>
        <v>#REF!</v>
      </c>
      <c r="AG249" s="3" t="s">
        <v>173</v>
      </c>
      <c r="AH249" s="4">
        <f t="shared" si="38"/>
        <v>382185.3324549825</v>
      </c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>
        <v>358185.3324549825</v>
      </c>
      <c r="AV249" s="4">
        <v>24000</v>
      </c>
      <c r="AW249" s="4"/>
      <c r="AZ249" s="156">
        <f>+N249-'Приложение №4'!E244</f>
        <v>0</v>
      </c>
    </row>
    <row r="250" spans="1:52" ht="15" x14ac:dyDescent="0.25">
      <c r="A250" s="122">
        <f t="shared" si="32"/>
        <v>233</v>
      </c>
      <c r="B250" s="62">
        <f t="shared" si="33"/>
        <v>233</v>
      </c>
      <c r="C250" s="62" t="s">
        <v>53</v>
      </c>
      <c r="D250" s="62" t="s">
        <v>174</v>
      </c>
      <c r="E250" s="123" t="s">
        <v>502</v>
      </c>
      <c r="F250" s="123"/>
      <c r="G250" s="123" t="s">
        <v>96</v>
      </c>
      <c r="H250" s="123" t="s">
        <v>98</v>
      </c>
      <c r="I250" s="123" t="s">
        <v>98</v>
      </c>
      <c r="J250" s="64">
        <v>685.95</v>
      </c>
      <c r="K250" s="64">
        <v>636.15</v>
      </c>
      <c r="L250" s="64">
        <v>0</v>
      </c>
      <c r="M250" s="124">
        <v>27</v>
      </c>
      <c r="N250" s="95">
        <f t="shared" si="39"/>
        <v>148651.82</v>
      </c>
      <c r="O250" s="64">
        <v>0</v>
      </c>
      <c r="P250" s="64"/>
      <c r="Q250" s="64"/>
      <c r="R250" s="64">
        <f>+'[12]Приложение № 4'!E223</f>
        <v>148651.82</v>
      </c>
      <c r="S250" s="64"/>
      <c r="T250" s="64"/>
      <c r="U250" s="64">
        <f t="shared" si="36"/>
        <v>233.67416489821585</v>
      </c>
      <c r="V250" s="64">
        <f t="shared" si="36"/>
        <v>233.67416489821585</v>
      </c>
      <c r="W250" s="163" t="s">
        <v>495</v>
      </c>
      <c r="X250" s="156" t="e">
        <f>+N250-#REF!</f>
        <v>#REF!</v>
      </c>
      <c r="Y250" s="153">
        <v>248004.58</v>
      </c>
      <c r="Z250" s="153">
        <f t="shared" si="40"/>
        <v>69467.579999999987</v>
      </c>
      <c r="AB250" s="156" t="e">
        <f>+N250-#REF!</f>
        <v>#REF!</v>
      </c>
      <c r="AC250" s="164">
        <f>+N250-'[12]Приложение № 4'!E223</f>
        <v>0</v>
      </c>
      <c r="AE250" s="165" t="e">
        <f>+N250-#REF!</f>
        <v>#REF!</v>
      </c>
      <c r="AG250" s="3" t="s">
        <v>174</v>
      </c>
      <c r="AH250" s="4">
        <f t="shared" si="38"/>
        <v>149320.67243150316</v>
      </c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>
        <v>125320.67243150316</v>
      </c>
      <c r="AV250" s="4">
        <v>24000</v>
      </c>
      <c r="AW250" s="4"/>
      <c r="AZ250" s="156">
        <f>+N250-'Приложение №4'!E245</f>
        <v>0</v>
      </c>
    </row>
    <row r="251" spans="1:52" ht="15" x14ac:dyDescent="0.25">
      <c r="A251" s="122">
        <f t="shared" si="32"/>
        <v>234</v>
      </c>
      <c r="B251" s="62">
        <f t="shared" si="33"/>
        <v>234</v>
      </c>
      <c r="C251" s="62" t="s">
        <v>53</v>
      </c>
      <c r="D251" s="62" t="s">
        <v>175</v>
      </c>
      <c r="E251" s="123" t="s">
        <v>503</v>
      </c>
      <c r="F251" s="123"/>
      <c r="G251" s="123" t="s">
        <v>96</v>
      </c>
      <c r="H251" s="123" t="s">
        <v>98</v>
      </c>
      <c r="I251" s="123" t="s">
        <v>98</v>
      </c>
      <c r="J251" s="64">
        <v>704.18</v>
      </c>
      <c r="K251" s="64">
        <v>654.26</v>
      </c>
      <c r="L251" s="64">
        <v>0</v>
      </c>
      <c r="M251" s="124">
        <v>34</v>
      </c>
      <c r="N251" s="95">
        <f t="shared" si="39"/>
        <v>356869.12000000005</v>
      </c>
      <c r="O251" s="64">
        <v>0</v>
      </c>
      <c r="P251" s="64"/>
      <c r="Q251" s="64"/>
      <c r="R251" s="64">
        <f>+'[12]Приложение № 4'!E224</f>
        <v>356869.12000000005</v>
      </c>
      <c r="S251" s="64"/>
      <c r="T251" s="64"/>
      <c r="U251" s="64">
        <f t="shared" si="36"/>
        <v>545.4545899183812</v>
      </c>
      <c r="V251" s="64">
        <f t="shared" si="36"/>
        <v>545.4545899183812</v>
      </c>
      <c r="W251" s="163" t="s">
        <v>495</v>
      </c>
      <c r="X251" s="156" t="e">
        <f>+N251-#REF!</f>
        <v>#REF!</v>
      </c>
      <c r="Y251" s="153">
        <v>207868.51</v>
      </c>
      <c r="Z251" s="153">
        <f t="shared" si="40"/>
        <v>71445.191999999995</v>
      </c>
      <c r="AB251" s="156" t="e">
        <f>+N251-#REF!</f>
        <v>#REF!</v>
      </c>
      <c r="AC251" s="164">
        <f>+N251-'[12]Приложение № 4'!E224</f>
        <v>0</v>
      </c>
      <c r="AE251" s="165" t="e">
        <f>+N251-#REF!</f>
        <v>#REF!</v>
      </c>
      <c r="AG251" s="3" t="s">
        <v>175</v>
      </c>
      <c r="AH251" s="4">
        <f t="shared" si="38"/>
        <v>358655.2185367255</v>
      </c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>
        <v>334655.2185367255</v>
      </c>
      <c r="AV251" s="4">
        <v>24000</v>
      </c>
      <c r="AW251" s="4"/>
      <c r="AZ251" s="156">
        <f>+N251-'Приложение №4'!E246</f>
        <v>0</v>
      </c>
    </row>
    <row r="252" spans="1:52" ht="15" x14ac:dyDescent="0.25">
      <c r="A252" s="122">
        <f t="shared" si="32"/>
        <v>235</v>
      </c>
      <c r="B252" s="62">
        <f t="shared" si="33"/>
        <v>235</v>
      </c>
      <c r="C252" s="62" t="s">
        <v>53</v>
      </c>
      <c r="D252" s="62" t="s">
        <v>176</v>
      </c>
      <c r="E252" s="123" t="s">
        <v>500</v>
      </c>
      <c r="F252" s="123"/>
      <c r="G252" s="123" t="s">
        <v>96</v>
      </c>
      <c r="H252" s="123" t="s">
        <v>98</v>
      </c>
      <c r="I252" s="123" t="s">
        <v>98</v>
      </c>
      <c r="J252" s="64">
        <v>785.98</v>
      </c>
      <c r="K252" s="64">
        <v>723.06</v>
      </c>
      <c r="L252" s="64">
        <v>0</v>
      </c>
      <c r="M252" s="124">
        <v>29</v>
      </c>
      <c r="N252" s="95">
        <f t="shared" si="39"/>
        <v>390055.05</v>
      </c>
      <c r="O252" s="64">
        <v>0</v>
      </c>
      <c r="P252" s="64"/>
      <c r="Q252" s="64"/>
      <c r="R252" s="64">
        <f>+'[12]Приложение № 4'!E225</f>
        <v>390055.05</v>
      </c>
      <c r="S252" s="64"/>
      <c r="T252" s="64"/>
      <c r="U252" s="64">
        <f t="shared" si="36"/>
        <v>539.45046054269358</v>
      </c>
      <c r="V252" s="64">
        <f t="shared" si="36"/>
        <v>539.45046054269358</v>
      </c>
      <c r="W252" s="163" t="s">
        <v>495</v>
      </c>
      <c r="X252" s="156" t="e">
        <f>+N252-#REF!</f>
        <v>#REF!</v>
      </c>
      <c r="Y252" s="153">
        <v>244637.31</v>
      </c>
      <c r="Z252" s="153">
        <f t="shared" si="40"/>
        <v>78958.152000000002</v>
      </c>
      <c r="AB252" s="156" t="e">
        <f>+N252-#REF!</f>
        <v>#REF!</v>
      </c>
      <c r="AC252" s="164">
        <f>+N252-'[12]Приложение № 4'!E225</f>
        <v>0</v>
      </c>
      <c r="AE252" s="165" t="e">
        <f>+N252-#REF!</f>
        <v>#REF!</v>
      </c>
      <c r="AG252" s="3" t="s">
        <v>176</v>
      </c>
      <c r="AH252" s="4">
        <f t="shared" si="38"/>
        <v>392019.21018424747</v>
      </c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>
        <v>368019.21018424747</v>
      </c>
      <c r="AV252" s="4">
        <v>24000</v>
      </c>
      <c r="AW252" s="4"/>
      <c r="AZ252" s="156">
        <f>+N252-'Приложение №4'!E247</f>
        <v>0</v>
      </c>
    </row>
    <row r="253" spans="1:52" ht="15" x14ac:dyDescent="0.25">
      <c r="A253" s="122">
        <f t="shared" si="32"/>
        <v>236</v>
      </c>
      <c r="B253" s="62">
        <f t="shared" si="33"/>
        <v>236</v>
      </c>
      <c r="C253" s="62" t="s">
        <v>53</v>
      </c>
      <c r="D253" s="62" t="s">
        <v>177</v>
      </c>
      <c r="E253" s="123" t="s">
        <v>500</v>
      </c>
      <c r="F253" s="123"/>
      <c r="G253" s="123" t="s">
        <v>96</v>
      </c>
      <c r="H253" s="123" t="s">
        <v>98</v>
      </c>
      <c r="I253" s="123" t="s">
        <v>98</v>
      </c>
      <c r="J253" s="64">
        <v>691.94</v>
      </c>
      <c r="K253" s="64">
        <v>642.98</v>
      </c>
      <c r="L253" s="64">
        <v>0</v>
      </c>
      <c r="M253" s="124">
        <v>26</v>
      </c>
      <c r="N253" s="95">
        <f t="shared" si="39"/>
        <v>480430.27000000008</v>
      </c>
      <c r="O253" s="64">
        <v>0</v>
      </c>
      <c r="P253" s="64"/>
      <c r="Q253" s="64"/>
      <c r="R253" s="64">
        <f>+'[12]Приложение № 4'!E226</f>
        <v>480430.27000000008</v>
      </c>
      <c r="S253" s="64"/>
      <c r="T253" s="64"/>
      <c r="U253" s="64">
        <f t="shared" si="36"/>
        <v>747.19317863697165</v>
      </c>
      <c r="V253" s="64">
        <f t="shared" si="36"/>
        <v>747.19317863697165</v>
      </c>
      <c r="W253" s="163" t="s">
        <v>495</v>
      </c>
      <c r="X253" s="156" t="e">
        <f>+N253-#REF!</f>
        <v>#REF!</v>
      </c>
      <c r="Y253" s="153">
        <v>232976.83</v>
      </c>
      <c r="Z253" s="153">
        <f t="shared" si="40"/>
        <v>70213.415999999997</v>
      </c>
      <c r="AB253" s="156" t="e">
        <f>+N253-#REF!</f>
        <v>#REF!</v>
      </c>
      <c r="AC253" s="164">
        <f>+N253-'[12]Приложение № 4'!E226</f>
        <v>0</v>
      </c>
      <c r="AE253" s="165" t="e">
        <f>+N253-#REF!</f>
        <v>#REF!</v>
      </c>
      <c r="AG253" s="3" t="s">
        <v>177</v>
      </c>
      <c r="AH253" s="4">
        <f t="shared" si="38"/>
        <v>482879.36579393281</v>
      </c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>
        <v>458879.36579393281</v>
      </c>
      <c r="AV253" s="4">
        <v>24000</v>
      </c>
      <c r="AW253" s="4"/>
      <c r="AZ253" s="156">
        <f>+N253-'Приложение №4'!E248</f>
        <v>0</v>
      </c>
    </row>
    <row r="254" spans="1:52" ht="15" x14ac:dyDescent="0.25">
      <c r="A254" s="122">
        <f t="shared" si="32"/>
        <v>237</v>
      </c>
      <c r="B254" s="62">
        <f t="shared" si="33"/>
        <v>237</v>
      </c>
      <c r="C254" s="62" t="s">
        <v>53</v>
      </c>
      <c r="D254" s="62" t="s">
        <v>178</v>
      </c>
      <c r="E254" s="123" t="s">
        <v>503</v>
      </c>
      <c r="F254" s="123"/>
      <c r="G254" s="123" t="s">
        <v>96</v>
      </c>
      <c r="H254" s="123" t="s">
        <v>98</v>
      </c>
      <c r="I254" s="123" t="s">
        <v>98</v>
      </c>
      <c r="J254" s="64">
        <v>681.08</v>
      </c>
      <c r="K254" s="64">
        <v>633.20000000000005</v>
      </c>
      <c r="L254" s="64">
        <v>0</v>
      </c>
      <c r="M254" s="124">
        <v>30</v>
      </c>
      <c r="N254" s="95">
        <f t="shared" si="39"/>
        <v>377148.54</v>
      </c>
      <c r="O254" s="64">
        <v>0</v>
      </c>
      <c r="P254" s="64"/>
      <c r="Q254" s="64"/>
      <c r="R254" s="64">
        <f>+'[12]Приложение № 4'!E227</f>
        <v>377148.54</v>
      </c>
      <c r="S254" s="64"/>
      <c r="T254" s="64"/>
      <c r="U254" s="64">
        <f t="shared" si="36"/>
        <v>595.62308907138333</v>
      </c>
      <c r="V254" s="64">
        <f t="shared" si="36"/>
        <v>595.62308907138333</v>
      </c>
      <c r="W254" s="163" t="s">
        <v>495</v>
      </c>
      <c r="X254" s="156" t="e">
        <f>+N254-#REF!</f>
        <v>#REF!</v>
      </c>
      <c r="Y254" s="153">
        <v>242635.36</v>
      </c>
      <c r="Z254" s="153">
        <f t="shared" si="40"/>
        <v>69145.440000000002</v>
      </c>
      <c r="AB254" s="156" t="e">
        <f>+N254-#REF!</f>
        <v>#REF!</v>
      </c>
      <c r="AC254" s="164">
        <f>+N254-'[12]Приложение № 4'!E227</f>
        <v>0</v>
      </c>
      <c r="AE254" s="165" t="e">
        <f>+N254-#REF!</f>
        <v>#REF!</v>
      </c>
      <c r="AG254" s="3" t="s">
        <v>178</v>
      </c>
      <c r="AH254" s="4">
        <f t="shared" si="38"/>
        <v>379043.4394446261</v>
      </c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>
        <v>355043.4394446261</v>
      </c>
      <c r="AV254" s="4">
        <v>24000</v>
      </c>
      <c r="AW254" s="4"/>
      <c r="AZ254" s="156">
        <f>+N254-'Приложение №4'!E249</f>
        <v>0</v>
      </c>
    </row>
    <row r="255" spans="1:52" ht="15" x14ac:dyDescent="0.25">
      <c r="A255" s="122">
        <f t="shared" si="32"/>
        <v>238</v>
      </c>
      <c r="B255" s="62">
        <f t="shared" si="33"/>
        <v>238</v>
      </c>
      <c r="C255" s="62" t="s">
        <v>53</v>
      </c>
      <c r="D255" s="62" t="s">
        <v>179</v>
      </c>
      <c r="E255" s="123" t="s">
        <v>115</v>
      </c>
      <c r="F255" s="123"/>
      <c r="G255" s="123" t="s">
        <v>96</v>
      </c>
      <c r="H255" s="123" t="s">
        <v>98</v>
      </c>
      <c r="I255" s="123" t="s">
        <v>98</v>
      </c>
      <c r="J255" s="64">
        <v>784.81</v>
      </c>
      <c r="K255" s="64">
        <v>721.89</v>
      </c>
      <c r="L255" s="64">
        <v>0</v>
      </c>
      <c r="M255" s="124">
        <v>30</v>
      </c>
      <c r="N255" s="95">
        <f t="shared" si="39"/>
        <v>259197.48</v>
      </c>
      <c r="O255" s="64">
        <v>0</v>
      </c>
      <c r="P255" s="64"/>
      <c r="Q255" s="64"/>
      <c r="R255" s="64">
        <f>+'[12]Приложение № 4'!E228</f>
        <v>259197.48</v>
      </c>
      <c r="S255" s="64"/>
      <c r="T255" s="64"/>
      <c r="U255" s="64">
        <f t="shared" si="36"/>
        <v>359.05398329385366</v>
      </c>
      <c r="V255" s="64">
        <f t="shared" si="36"/>
        <v>359.05398329385366</v>
      </c>
      <c r="W255" s="163" t="s">
        <v>495</v>
      </c>
      <c r="X255" s="156" t="e">
        <f>+N255-#REF!</f>
        <v>#REF!</v>
      </c>
      <c r="Y255" s="153">
        <v>268195.93</v>
      </c>
      <c r="Z255" s="153">
        <f t="shared" si="40"/>
        <v>78830.387999999992</v>
      </c>
      <c r="AB255" s="156" t="e">
        <f>+N255-#REF!</f>
        <v>#REF!</v>
      </c>
      <c r="AC255" s="164">
        <f>+N255-'[12]Приложение № 4'!E228</f>
        <v>0</v>
      </c>
      <c r="AE255" s="165" t="e">
        <f>+N255-#REF!</f>
        <v>#REF!</v>
      </c>
      <c r="AG255" s="3" t="s">
        <v>179</v>
      </c>
      <c r="AH255" s="4">
        <f t="shared" si="38"/>
        <v>260459.50667712002</v>
      </c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>
        <v>236459.50667712002</v>
      </c>
      <c r="AV255" s="4">
        <v>24000</v>
      </c>
      <c r="AW255" s="4"/>
      <c r="AZ255" s="156">
        <f>+N255-'Приложение №4'!E250</f>
        <v>0</v>
      </c>
    </row>
    <row r="256" spans="1:52" ht="15" x14ac:dyDescent="0.25">
      <c r="A256" s="122">
        <f t="shared" si="32"/>
        <v>239</v>
      </c>
      <c r="B256" s="62">
        <f t="shared" si="33"/>
        <v>239</v>
      </c>
      <c r="C256" s="62" t="s">
        <v>53</v>
      </c>
      <c r="D256" s="62" t="s">
        <v>180</v>
      </c>
      <c r="E256" s="123" t="s">
        <v>500</v>
      </c>
      <c r="F256" s="123"/>
      <c r="G256" s="123" t="s">
        <v>96</v>
      </c>
      <c r="H256" s="123" t="s">
        <v>98</v>
      </c>
      <c r="I256" s="123" t="s">
        <v>98</v>
      </c>
      <c r="J256" s="64">
        <v>688.5</v>
      </c>
      <c r="K256" s="64">
        <v>640.1</v>
      </c>
      <c r="L256" s="64">
        <v>0</v>
      </c>
      <c r="M256" s="124">
        <v>22</v>
      </c>
      <c r="N256" s="95">
        <f t="shared" si="39"/>
        <v>253253.27000000002</v>
      </c>
      <c r="O256" s="64">
        <v>0</v>
      </c>
      <c r="P256" s="64"/>
      <c r="Q256" s="64"/>
      <c r="R256" s="64">
        <f>+'[12]Приложение № 4'!E229</f>
        <v>253253.27000000002</v>
      </c>
      <c r="S256" s="64"/>
      <c r="T256" s="64"/>
      <c r="U256" s="64">
        <f t="shared" si="36"/>
        <v>395.64641462271521</v>
      </c>
      <c r="V256" s="64">
        <f t="shared" si="36"/>
        <v>395.64641462271521</v>
      </c>
      <c r="W256" s="163" t="s">
        <v>495</v>
      </c>
      <c r="X256" s="156" t="e">
        <f>+N256-#REF!</f>
        <v>#REF!</v>
      </c>
      <c r="Y256" s="153">
        <v>213410.91</v>
      </c>
      <c r="Z256" s="153">
        <f t="shared" si="40"/>
        <v>69898.92</v>
      </c>
      <c r="AB256" s="156" t="e">
        <f>+N256-#REF!</f>
        <v>#REF!</v>
      </c>
      <c r="AC256" s="164">
        <f>+N256-'[12]Приложение № 4'!E229</f>
        <v>0</v>
      </c>
      <c r="AE256" s="165" t="e">
        <f>+N256-#REF!</f>
        <v>#REF!</v>
      </c>
      <c r="AG256" s="3" t="s">
        <v>180</v>
      </c>
      <c r="AH256" s="4">
        <f t="shared" si="38"/>
        <v>254483.39875200001</v>
      </c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>
        <v>230483.39875200001</v>
      </c>
      <c r="AV256" s="4">
        <v>24000</v>
      </c>
      <c r="AW256" s="4"/>
      <c r="AZ256" s="156">
        <f>+N256-'Приложение №4'!E251</f>
        <v>0</v>
      </c>
    </row>
    <row r="257" spans="1:52" ht="15" x14ac:dyDescent="0.25">
      <c r="A257" s="122">
        <f t="shared" si="32"/>
        <v>240</v>
      </c>
      <c r="B257" s="62">
        <f t="shared" si="33"/>
        <v>240</v>
      </c>
      <c r="C257" s="62" t="s">
        <v>53</v>
      </c>
      <c r="D257" s="62" t="s">
        <v>181</v>
      </c>
      <c r="E257" s="123" t="s">
        <v>117</v>
      </c>
      <c r="F257" s="123"/>
      <c r="G257" s="123" t="s">
        <v>96</v>
      </c>
      <c r="H257" s="123" t="s">
        <v>108</v>
      </c>
      <c r="I257" s="123" t="s">
        <v>100</v>
      </c>
      <c r="J257" s="64">
        <v>7035.55</v>
      </c>
      <c r="K257" s="64">
        <v>6562.99</v>
      </c>
      <c r="L257" s="64">
        <v>0</v>
      </c>
      <c r="M257" s="124">
        <v>230</v>
      </c>
      <c r="N257" s="95">
        <f t="shared" si="39"/>
        <v>888060.27999999991</v>
      </c>
      <c r="O257" s="64">
        <v>0</v>
      </c>
      <c r="P257" s="64"/>
      <c r="Q257" s="64"/>
      <c r="R257" s="64">
        <f>+'[12]Приложение № 4'!E230</f>
        <v>888060.27999999991</v>
      </c>
      <c r="S257" s="64"/>
      <c r="T257" s="64"/>
      <c r="U257" s="64">
        <f t="shared" si="36"/>
        <v>135.31336783996318</v>
      </c>
      <c r="V257" s="64">
        <f t="shared" si="36"/>
        <v>135.31336783996318</v>
      </c>
      <c r="W257" s="163" t="s">
        <v>495</v>
      </c>
      <c r="X257" s="156" t="e">
        <f>+N257-#REF!</f>
        <v>#REF!</v>
      </c>
      <c r="Y257" s="153">
        <v>2099032.3199999998</v>
      </c>
      <c r="Z257" s="153">
        <f t="shared" si="40"/>
        <v>716678.50799999991</v>
      </c>
      <c r="AB257" s="156" t="e">
        <f>+N257-#REF!</f>
        <v>#REF!</v>
      </c>
      <c r="AC257" s="164">
        <f>+N257-'[12]Приложение № 4'!E230</f>
        <v>0</v>
      </c>
      <c r="AE257" s="165" t="e">
        <f>+N257-#REF!</f>
        <v>#REF!</v>
      </c>
      <c r="AG257" s="3" t="s">
        <v>181</v>
      </c>
      <c r="AH257" s="4">
        <f t="shared" si="38"/>
        <v>892696.63223616022</v>
      </c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>
        <v>868696.63223616022</v>
      </c>
      <c r="AV257" s="4">
        <v>24000</v>
      </c>
      <c r="AW257" s="4"/>
      <c r="AZ257" s="156">
        <f>+N257-'Приложение №4'!E252</f>
        <v>0</v>
      </c>
    </row>
    <row r="258" spans="1:52" ht="15" x14ac:dyDescent="0.25">
      <c r="A258" s="122">
        <f t="shared" si="32"/>
        <v>241</v>
      </c>
      <c r="B258" s="62">
        <f t="shared" si="33"/>
        <v>241</v>
      </c>
      <c r="C258" s="62" t="s">
        <v>53</v>
      </c>
      <c r="D258" s="62" t="s">
        <v>182</v>
      </c>
      <c r="E258" s="123" t="s">
        <v>124</v>
      </c>
      <c r="F258" s="123"/>
      <c r="G258" s="123" t="s">
        <v>96</v>
      </c>
      <c r="H258" s="123" t="s">
        <v>98</v>
      </c>
      <c r="I258" s="123" t="s">
        <v>98</v>
      </c>
      <c r="J258" s="64">
        <v>772.78</v>
      </c>
      <c r="K258" s="64">
        <v>710.3</v>
      </c>
      <c r="L258" s="64">
        <v>0</v>
      </c>
      <c r="M258" s="124">
        <v>35</v>
      </c>
      <c r="N258" s="95">
        <f t="shared" si="39"/>
        <v>365040.37</v>
      </c>
      <c r="O258" s="64">
        <v>0</v>
      </c>
      <c r="P258" s="64"/>
      <c r="Q258" s="64"/>
      <c r="R258" s="64">
        <f>+'[12]Приложение № 4'!E231</f>
        <v>365040.37</v>
      </c>
      <c r="S258" s="64"/>
      <c r="T258" s="64"/>
      <c r="U258" s="64">
        <f t="shared" si="36"/>
        <v>513.92421512037174</v>
      </c>
      <c r="V258" s="64">
        <f t="shared" si="36"/>
        <v>513.92421512037174</v>
      </c>
      <c r="W258" s="163" t="s">
        <v>495</v>
      </c>
      <c r="X258" s="156" t="e">
        <f>+N258-#REF!</f>
        <v>#REF!</v>
      </c>
      <c r="Y258" s="153">
        <v>263502.03999999998</v>
      </c>
      <c r="Z258" s="153">
        <f t="shared" si="40"/>
        <v>77564.759999999995</v>
      </c>
      <c r="AB258" s="156" t="e">
        <f>+N258-#REF!</f>
        <v>#REF!</v>
      </c>
      <c r="AC258" s="164">
        <f>+N258-'[12]Приложение № 4'!E231</f>
        <v>0</v>
      </c>
      <c r="AE258" s="165" t="e">
        <f>+N258-#REF!</f>
        <v>#REF!</v>
      </c>
      <c r="AG258" s="3" t="s">
        <v>182</v>
      </c>
      <c r="AH258" s="4">
        <f t="shared" si="38"/>
        <v>366870.31320629769</v>
      </c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>
        <v>342870.31320629769</v>
      </c>
      <c r="AV258" s="4">
        <v>24000</v>
      </c>
      <c r="AW258" s="4"/>
      <c r="AZ258" s="156">
        <f>+N258-'Приложение №4'!E253</f>
        <v>0</v>
      </c>
    </row>
    <row r="259" spans="1:52" ht="15" x14ac:dyDescent="0.25">
      <c r="A259" s="122">
        <f t="shared" si="32"/>
        <v>242</v>
      </c>
      <c r="B259" s="62">
        <f t="shared" si="33"/>
        <v>242</v>
      </c>
      <c r="C259" s="62" t="s">
        <v>53</v>
      </c>
      <c r="D259" s="62" t="s">
        <v>183</v>
      </c>
      <c r="E259" s="123" t="s">
        <v>501</v>
      </c>
      <c r="F259" s="123"/>
      <c r="G259" s="123" t="s">
        <v>96</v>
      </c>
      <c r="H259" s="123" t="s">
        <v>98</v>
      </c>
      <c r="I259" s="123" t="s">
        <v>98</v>
      </c>
      <c r="J259" s="64">
        <v>668.99</v>
      </c>
      <c r="K259" s="64">
        <v>624.47</v>
      </c>
      <c r="L259" s="64">
        <v>0</v>
      </c>
      <c r="M259" s="124">
        <v>25</v>
      </c>
      <c r="N259" s="95">
        <f t="shared" si="39"/>
        <v>237999.66</v>
      </c>
      <c r="O259" s="64">
        <v>0</v>
      </c>
      <c r="P259" s="64"/>
      <c r="Q259" s="64"/>
      <c r="R259" s="64">
        <f>+'[12]Приложение № 4'!E232</f>
        <v>237999.66</v>
      </c>
      <c r="S259" s="64"/>
      <c r="T259" s="64"/>
      <c r="U259" s="64">
        <f t="shared" si="36"/>
        <v>381.12264800550867</v>
      </c>
      <c r="V259" s="64">
        <f t="shared" si="36"/>
        <v>381.12264800550867</v>
      </c>
      <c r="W259" s="163" t="s">
        <v>495</v>
      </c>
      <c r="X259" s="156" t="e">
        <f>+N259-#REF!</f>
        <v>#REF!</v>
      </c>
      <c r="Y259" s="153">
        <v>182453.94</v>
      </c>
      <c r="Z259" s="153">
        <f t="shared" si="40"/>
        <v>68192.123999999996</v>
      </c>
      <c r="AB259" s="156" t="e">
        <f>+N259-#REF!</f>
        <v>#REF!</v>
      </c>
      <c r="AC259" s="164">
        <f>+N259-'[12]Приложение № 4'!E232</f>
        <v>0</v>
      </c>
      <c r="AE259" s="165" t="e">
        <f>+N259-#REF!</f>
        <v>#REF!</v>
      </c>
      <c r="AG259" s="3" t="s">
        <v>183</v>
      </c>
      <c r="AH259" s="4">
        <f t="shared" si="38"/>
        <v>253272.78858048</v>
      </c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>
        <v>229272.78858048</v>
      </c>
      <c r="AV259" s="4">
        <v>24000</v>
      </c>
      <c r="AW259" s="4"/>
      <c r="AZ259" s="156">
        <f>+N259-'Приложение №4'!E254</f>
        <v>0</v>
      </c>
    </row>
    <row r="260" spans="1:52" ht="15" x14ac:dyDescent="0.25">
      <c r="A260" s="122">
        <f t="shared" si="32"/>
        <v>243</v>
      </c>
      <c r="B260" s="62">
        <f t="shared" si="33"/>
        <v>243</v>
      </c>
      <c r="C260" s="62" t="s">
        <v>53</v>
      </c>
      <c r="D260" s="62" t="s">
        <v>184</v>
      </c>
      <c r="E260" s="123" t="s">
        <v>501</v>
      </c>
      <c r="F260" s="123"/>
      <c r="G260" s="123" t="s">
        <v>96</v>
      </c>
      <c r="H260" s="123" t="s">
        <v>98</v>
      </c>
      <c r="I260" s="123" t="s">
        <v>98</v>
      </c>
      <c r="J260" s="64">
        <v>417.31</v>
      </c>
      <c r="K260" s="64">
        <v>376.88</v>
      </c>
      <c r="L260" s="64">
        <v>0</v>
      </c>
      <c r="M260" s="124">
        <v>17</v>
      </c>
      <c r="N260" s="95">
        <f t="shared" si="39"/>
        <v>219802.34000000003</v>
      </c>
      <c r="O260" s="64">
        <v>0</v>
      </c>
      <c r="P260" s="64"/>
      <c r="Q260" s="64"/>
      <c r="R260" s="64">
        <f>+'[12]Приложение № 4'!E233</f>
        <v>219802.34000000003</v>
      </c>
      <c r="S260" s="64"/>
      <c r="T260" s="64"/>
      <c r="U260" s="64">
        <f t="shared" si="36"/>
        <v>583.21571853109754</v>
      </c>
      <c r="V260" s="64">
        <f t="shared" si="36"/>
        <v>583.21571853109754</v>
      </c>
      <c r="W260" s="163" t="s">
        <v>495</v>
      </c>
      <c r="X260" s="156" t="e">
        <f>+N260-#REF!</f>
        <v>#REF!</v>
      </c>
      <c r="Y260" s="153">
        <v>128128.39</v>
      </c>
      <c r="Z260" s="153">
        <f t="shared" si="40"/>
        <v>41155.295999999995</v>
      </c>
      <c r="AB260" s="156" t="e">
        <f>+N260-#REF!</f>
        <v>#REF!</v>
      </c>
      <c r="AC260" s="164">
        <f>+N260-'[12]Приложение № 4'!E233</f>
        <v>0</v>
      </c>
      <c r="AE260" s="165" t="e">
        <f>+N260-#REF!</f>
        <v>#REF!</v>
      </c>
      <c r="AG260" s="3" t="s">
        <v>184</v>
      </c>
      <c r="AH260" s="4">
        <f t="shared" si="38"/>
        <v>234973.85531712</v>
      </c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>
        <v>210973.85531712</v>
      </c>
      <c r="AV260" s="4">
        <v>24000</v>
      </c>
      <c r="AW260" s="4"/>
      <c r="AZ260" s="156">
        <f>+N260-'Приложение №4'!E255</f>
        <v>0</v>
      </c>
    </row>
    <row r="261" spans="1:52" ht="15" x14ac:dyDescent="0.25">
      <c r="A261" s="122">
        <f t="shared" si="32"/>
        <v>244</v>
      </c>
      <c r="B261" s="62">
        <f t="shared" si="33"/>
        <v>244</v>
      </c>
      <c r="C261" s="62" t="s">
        <v>53</v>
      </c>
      <c r="D261" s="62" t="s">
        <v>185</v>
      </c>
      <c r="E261" s="123" t="s">
        <v>504</v>
      </c>
      <c r="F261" s="123"/>
      <c r="G261" s="123" t="s">
        <v>96</v>
      </c>
      <c r="H261" s="123" t="s">
        <v>98</v>
      </c>
      <c r="I261" s="123" t="s">
        <v>98</v>
      </c>
      <c r="J261" s="64">
        <v>804.15</v>
      </c>
      <c r="K261" s="64">
        <v>746.39</v>
      </c>
      <c r="L261" s="64">
        <v>0</v>
      </c>
      <c r="M261" s="124">
        <v>32</v>
      </c>
      <c r="N261" s="95">
        <f t="shared" si="39"/>
        <v>492619.01999999996</v>
      </c>
      <c r="O261" s="64">
        <v>0</v>
      </c>
      <c r="P261" s="64"/>
      <c r="Q261" s="64"/>
      <c r="R261" s="64">
        <f>+'[12]Приложение № 4'!E234</f>
        <v>492619.01999999996</v>
      </c>
      <c r="S261" s="64"/>
      <c r="T261" s="64"/>
      <c r="U261" s="64">
        <f t="shared" si="36"/>
        <v>660.00217044708529</v>
      </c>
      <c r="V261" s="64">
        <f t="shared" si="36"/>
        <v>660.00217044708529</v>
      </c>
      <c r="W261" s="163" t="s">
        <v>495</v>
      </c>
      <c r="X261" s="156" t="e">
        <f>+N261-#REF!</f>
        <v>#REF!</v>
      </c>
      <c r="Y261" s="153">
        <v>236049.52</v>
      </c>
      <c r="Z261" s="153">
        <f t="shared" si="40"/>
        <v>81505.788</v>
      </c>
      <c r="AB261" s="156" t="e">
        <f>+N261-#REF!</f>
        <v>#REF!</v>
      </c>
      <c r="AC261" s="164">
        <f>+N261-'[12]Приложение № 4'!E234</f>
        <v>0</v>
      </c>
      <c r="AE261" s="165" t="e">
        <f>+N261-#REF!</f>
        <v>#REF!</v>
      </c>
      <c r="AG261" s="3" t="s">
        <v>185</v>
      </c>
      <c r="AH261" s="4">
        <f t="shared" si="38"/>
        <v>495140.3905922831</v>
      </c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>
        <v>454095.43883068312</v>
      </c>
      <c r="AV261" s="4">
        <v>41044.951761599994</v>
      </c>
      <c r="AW261" s="4"/>
      <c r="AZ261" s="156">
        <f>+N261-'Приложение №4'!E256</f>
        <v>0</v>
      </c>
    </row>
    <row r="262" spans="1:52" ht="15" x14ac:dyDescent="0.25">
      <c r="A262" s="122">
        <f t="shared" si="32"/>
        <v>245</v>
      </c>
      <c r="B262" s="62">
        <f t="shared" si="33"/>
        <v>245</v>
      </c>
      <c r="C262" s="62" t="s">
        <v>53</v>
      </c>
      <c r="D262" s="62" t="s">
        <v>186</v>
      </c>
      <c r="E262" s="123" t="s">
        <v>500</v>
      </c>
      <c r="F262" s="123"/>
      <c r="G262" s="123" t="s">
        <v>96</v>
      </c>
      <c r="H262" s="123" t="s">
        <v>105</v>
      </c>
      <c r="I262" s="123" t="s">
        <v>98</v>
      </c>
      <c r="J262" s="64">
        <v>1690.98</v>
      </c>
      <c r="K262" s="64">
        <v>1570.02</v>
      </c>
      <c r="L262" s="64">
        <v>0</v>
      </c>
      <c r="M262" s="124">
        <v>39</v>
      </c>
      <c r="N262" s="95">
        <f t="shared" si="39"/>
        <v>913803.31999999983</v>
      </c>
      <c r="O262" s="64">
        <v>0</v>
      </c>
      <c r="P262" s="64"/>
      <c r="Q262" s="64"/>
      <c r="R262" s="64">
        <f>+'[12]Приложение № 4'!E235</f>
        <v>913803.31999999983</v>
      </c>
      <c r="S262" s="64"/>
      <c r="T262" s="64"/>
      <c r="U262" s="64">
        <f t="shared" si="36"/>
        <v>582.03291677813013</v>
      </c>
      <c r="V262" s="64">
        <f t="shared" si="36"/>
        <v>582.03291677813013</v>
      </c>
      <c r="W262" s="163" t="s">
        <v>495</v>
      </c>
      <c r="X262" s="156" t="e">
        <f>+N262-#REF!</f>
        <v>#REF!</v>
      </c>
      <c r="Y262" s="153">
        <v>426949.01</v>
      </c>
      <c r="Z262" s="153">
        <f t="shared" si="40"/>
        <v>171446.18399999998</v>
      </c>
      <c r="AB262" s="156" t="e">
        <f>+N262-#REF!</f>
        <v>#REF!</v>
      </c>
      <c r="AC262" s="164">
        <f>+N262-'[12]Приложение № 4'!E235</f>
        <v>0</v>
      </c>
      <c r="AE262" s="165" t="e">
        <f>+N262-#REF!</f>
        <v>#REF!</v>
      </c>
      <c r="AG262" s="3" t="s">
        <v>186</v>
      </c>
      <c r="AH262" s="4">
        <f t="shared" si="38"/>
        <v>918590.80870919395</v>
      </c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>
        <v>894590.80870919395</v>
      </c>
      <c r="AV262" s="4">
        <v>24000</v>
      </c>
      <c r="AW262" s="4"/>
      <c r="AZ262" s="156">
        <f>+N262-'Приложение №4'!E257</f>
        <v>0</v>
      </c>
    </row>
    <row r="263" spans="1:52" ht="15" x14ac:dyDescent="0.25">
      <c r="A263" s="122">
        <f t="shared" si="32"/>
        <v>246</v>
      </c>
      <c r="B263" s="62">
        <f t="shared" si="33"/>
        <v>246</v>
      </c>
      <c r="C263" s="62" t="s">
        <v>53</v>
      </c>
      <c r="D263" s="62" t="s">
        <v>187</v>
      </c>
      <c r="E263" s="123" t="s">
        <v>500</v>
      </c>
      <c r="F263" s="123"/>
      <c r="G263" s="123" t="s">
        <v>96</v>
      </c>
      <c r="H263" s="123" t="s">
        <v>101</v>
      </c>
      <c r="I263" s="123" t="s">
        <v>105</v>
      </c>
      <c r="J263" s="64">
        <v>2145.14</v>
      </c>
      <c r="K263" s="64">
        <v>2035.58</v>
      </c>
      <c r="L263" s="64">
        <v>0</v>
      </c>
      <c r="M263" s="124">
        <v>51</v>
      </c>
      <c r="N263" s="95">
        <f t="shared" si="39"/>
        <v>447467.5</v>
      </c>
      <c r="O263" s="64">
        <v>0</v>
      </c>
      <c r="P263" s="64"/>
      <c r="Q263" s="64"/>
      <c r="R263" s="64">
        <f>+'[12]Приложение № 4'!E236</f>
        <v>447467.5</v>
      </c>
      <c r="S263" s="64"/>
      <c r="T263" s="64"/>
      <c r="U263" s="64">
        <f t="shared" si="36"/>
        <v>219.82309710254572</v>
      </c>
      <c r="V263" s="64">
        <f t="shared" si="36"/>
        <v>219.82309710254572</v>
      </c>
      <c r="W263" s="163" t="s">
        <v>495</v>
      </c>
      <c r="X263" s="156" t="e">
        <f>+N263-#REF!</f>
        <v>#REF!</v>
      </c>
      <c r="Y263" s="153">
        <v>431915.12</v>
      </c>
      <c r="Z263" s="153">
        <f t="shared" si="40"/>
        <v>222285.33599999998</v>
      </c>
      <c r="AB263" s="156" t="e">
        <f>+N263-#REF!</f>
        <v>#REF!</v>
      </c>
      <c r="AC263" s="164">
        <f>+N263-'[12]Приложение № 4'!E236</f>
        <v>0</v>
      </c>
      <c r="AE263" s="165" t="e">
        <f>+N263-#REF!</f>
        <v>#REF!</v>
      </c>
      <c r="AG263" s="3" t="s">
        <v>187</v>
      </c>
      <c r="AH263" s="4">
        <f t="shared" si="38"/>
        <v>449745.93414528004</v>
      </c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>
        <v>425745.93414528004</v>
      </c>
      <c r="AV263" s="4">
        <v>24000</v>
      </c>
      <c r="AW263" s="4"/>
      <c r="AZ263" s="156">
        <f>+N263-'Приложение №4'!E258</f>
        <v>0</v>
      </c>
    </row>
    <row r="264" spans="1:52" ht="15" x14ac:dyDescent="0.25">
      <c r="A264" s="122">
        <f t="shared" si="32"/>
        <v>247</v>
      </c>
      <c r="B264" s="62">
        <f t="shared" si="33"/>
        <v>247</v>
      </c>
      <c r="C264" s="62" t="s">
        <v>53</v>
      </c>
      <c r="D264" s="62" t="s">
        <v>188</v>
      </c>
      <c r="E264" s="123" t="s">
        <v>503</v>
      </c>
      <c r="F264" s="123"/>
      <c r="G264" s="123" t="s">
        <v>96</v>
      </c>
      <c r="H264" s="123" t="s">
        <v>101</v>
      </c>
      <c r="I264" s="123" t="s">
        <v>98</v>
      </c>
      <c r="J264" s="64">
        <v>631.38</v>
      </c>
      <c r="K264" s="64">
        <v>565.38</v>
      </c>
      <c r="L264" s="64">
        <v>0</v>
      </c>
      <c r="M264" s="124">
        <v>16</v>
      </c>
      <c r="N264" s="95">
        <f t="shared" si="39"/>
        <v>330031.41000000003</v>
      </c>
      <c r="O264" s="64">
        <v>0</v>
      </c>
      <c r="P264" s="64"/>
      <c r="Q264" s="64"/>
      <c r="R264" s="64">
        <f>+'[12]Приложение № 4'!E237</f>
        <v>330031.41000000003</v>
      </c>
      <c r="S264" s="64"/>
      <c r="T264" s="64"/>
      <c r="U264" s="64">
        <f t="shared" si="36"/>
        <v>583.73378966358916</v>
      </c>
      <c r="V264" s="64">
        <f t="shared" si="36"/>
        <v>583.73378966358916</v>
      </c>
      <c r="W264" s="163" t="s">
        <v>495</v>
      </c>
      <c r="X264" s="156" t="e">
        <f>+N264-#REF!</f>
        <v>#REF!</v>
      </c>
      <c r="Y264" s="153">
        <v>163946.72</v>
      </c>
      <c r="Z264" s="153">
        <f t="shared" si="40"/>
        <v>61739.495999999999</v>
      </c>
      <c r="AB264" s="156" t="e">
        <f>+N264-#REF!</f>
        <v>#REF!</v>
      </c>
      <c r="AC264" s="164">
        <f>+N264-'[12]Приложение № 4'!E237</f>
        <v>0</v>
      </c>
      <c r="AE264" s="165" t="e">
        <f>+N264-#REF!</f>
        <v>#REF!</v>
      </c>
      <c r="AG264" s="3" t="s">
        <v>188</v>
      </c>
      <c r="AH264" s="4">
        <f t="shared" si="38"/>
        <v>331677.98779776</v>
      </c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>
        <v>307677.98779776</v>
      </c>
      <c r="AV264" s="4">
        <v>24000</v>
      </c>
      <c r="AW264" s="4"/>
      <c r="AZ264" s="156">
        <f>+N264-'Приложение №4'!E259</f>
        <v>0</v>
      </c>
    </row>
    <row r="265" spans="1:52" ht="15" x14ac:dyDescent="0.25">
      <c r="A265" s="122">
        <f t="shared" si="32"/>
        <v>248</v>
      </c>
      <c r="B265" s="62">
        <f t="shared" si="33"/>
        <v>248</v>
      </c>
      <c r="C265" s="62" t="s">
        <v>53</v>
      </c>
      <c r="D265" s="62" t="s">
        <v>189</v>
      </c>
      <c r="E265" s="123" t="s">
        <v>116</v>
      </c>
      <c r="F265" s="123"/>
      <c r="G265" s="123" t="s">
        <v>96</v>
      </c>
      <c r="H265" s="123" t="s">
        <v>105</v>
      </c>
      <c r="I265" s="123" t="s">
        <v>98</v>
      </c>
      <c r="J265" s="64">
        <v>1742.34</v>
      </c>
      <c r="K265" s="64">
        <v>1622.66</v>
      </c>
      <c r="L265" s="64">
        <v>0</v>
      </c>
      <c r="M265" s="124">
        <v>55</v>
      </c>
      <c r="N265" s="95">
        <f t="shared" si="39"/>
        <v>489810.22000000009</v>
      </c>
      <c r="O265" s="64">
        <v>0</v>
      </c>
      <c r="P265" s="64"/>
      <c r="Q265" s="64"/>
      <c r="R265" s="64">
        <f>+'[12]Приложение № 4'!E238</f>
        <v>489810.22000000009</v>
      </c>
      <c r="S265" s="64"/>
      <c r="T265" s="64"/>
      <c r="U265" s="64">
        <f t="shared" si="36"/>
        <v>301.85634698581345</v>
      </c>
      <c r="V265" s="64">
        <f t="shared" si="36"/>
        <v>301.85634698581345</v>
      </c>
      <c r="W265" s="163" t="s">
        <v>495</v>
      </c>
      <c r="X265" s="156" t="e">
        <f>+N265-#REF!</f>
        <v>#REF!</v>
      </c>
      <c r="Y265" s="153">
        <v>465976.26</v>
      </c>
      <c r="Z265" s="153">
        <f t="shared" si="40"/>
        <v>177194.47200000001</v>
      </c>
      <c r="AB265" s="156" t="e">
        <f>+N265-#REF!</f>
        <v>#REF!</v>
      </c>
      <c r="AC265" s="164">
        <f>+N265-'[12]Приложение № 4'!E238</f>
        <v>0</v>
      </c>
      <c r="AE265" s="165" t="e">
        <f>+N265-#REF!</f>
        <v>#REF!</v>
      </c>
      <c r="AG265" s="3" t="s">
        <v>189</v>
      </c>
      <c r="AH265" s="4">
        <f t="shared" si="38"/>
        <v>506489.42198860802</v>
      </c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>
        <v>482489.42198860802</v>
      </c>
      <c r="AV265" s="4">
        <v>24000</v>
      </c>
      <c r="AW265" s="4"/>
      <c r="AZ265" s="156">
        <f>+N265-'Приложение №4'!E260</f>
        <v>0</v>
      </c>
    </row>
    <row r="266" spans="1:52" ht="15" x14ac:dyDescent="0.25">
      <c r="A266" s="122">
        <f t="shared" si="32"/>
        <v>249</v>
      </c>
      <c r="B266" s="62">
        <f t="shared" si="33"/>
        <v>249</v>
      </c>
      <c r="C266" s="62" t="s">
        <v>53</v>
      </c>
      <c r="D266" s="62" t="s">
        <v>190</v>
      </c>
      <c r="E266" s="123" t="s">
        <v>116</v>
      </c>
      <c r="F266" s="123"/>
      <c r="G266" s="123" t="s">
        <v>96</v>
      </c>
      <c r="H266" s="123" t="s">
        <v>98</v>
      </c>
      <c r="I266" s="123" t="s">
        <v>98</v>
      </c>
      <c r="J266" s="64">
        <v>1021.53</v>
      </c>
      <c r="K266" s="64">
        <v>959.05</v>
      </c>
      <c r="L266" s="64">
        <v>0</v>
      </c>
      <c r="M266" s="124">
        <v>31</v>
      </c>
      <c r="N266" s="95">
        <f t="shared" si="39"/>
        <v>265087.77</v>
      </c>
      <c r="O266" s="64">
        <v>0</v>
      </c>
      <c r="P266" s="64"/>
      <c r="Q266" s="64"/>
      <c r="R266" s="64">
        <f>+'[12]Приложение № 4'!E239</f>
        <v>265087.77</v>
      </c>
      <c r="S266" s="64"/>
      <c r="T266" s="64"/>
      <c r="U266" s="64">
        <f t="shared" si="36"/>
        <v>276.40662113549871</v>
      </c>
      <c r="V266" s="64">
        <f t="shared" si="36"/>
        <v>276.40662113549871</v>
      </c>
      <c r="W266" s="163" t="s">
        <v>495</v>
      </c>
      <c r="X266" s="156" t="e">
        <f>+N266-#REF!</f>
        <v>#REF!</v>
      </c>
      <c r="Y266" s="153">
        <v>263059.39</v>
      </c>
      <c r="Z266" s="153">
        <f t="shared" si="40"/>
        <v>104728.26</v>
      </c>
      <c r="AB266" s="156" t="e">
        <f>+N266-#REF!</f>
        <v>#REF!</v>
      </c>
      <c r="AC266" s="164">
        <f>+N266-'[12]Приложение № 4'!E239</f>
        <v>0</v>
      </c>
      <c r="AE266" s="165" t="e">
        <f>+N266-#REF!</f>
        <v>#REF!</v>
      </c>
      <c r="AG266" s="3" t="s">
        <v>190</v>
      </c>
      <c r="AH266" s="4">
        <f t="shared" si="38"/>
        <v>280512.16069056001</v>
      </c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>
        <v>256512.16069056001</v>
      </c>
      <c r="AV266" s="4">
        <v>24000</v>
      </c>
      <c r="AW266" s="4"/>
      <c r="AZ266" s="156">
        <f>+N266-'Приложение №4'!E261</f>
        <v>0</v>
      </c>
    </row>
    <row r="267" spans="1:52" ht="15" x14ac:dyDescent="0.25">
      <c r="A267" s="122">
        <f t="shared" si="32"/>
        <v>250</v>
      </c>
      <c r="B267" s="62">
        <f t="shared" si="33"/>
        <v>250</v>
      </c>
      <c r="C267" s="62" t="s">
        <v>53</v>
      </c>
      <c r="D267" s="62" t="s">
        <v>191</v>
      </c>
      <c r="E267" s="123" t="s">
        <v>117</v>
      </c>
      <c r="F267" s="123"/>
      <c r="G267" s="123" t="s">
        <v>96</v>
      </c>
      <c r="H267" s="123" t="s">
        <v>98</v>
      </c>
      <c r="I267" s="123" t="s">
        <v>98</v>
      </c>
      <c r="J267" s="64">
        <v>989.4</v>
      </c>
      <c r="K267" s="64">
        <v>827.29</v>
      </c>
      <c r="L267" s="64">
        <v>0</v>
      </c>
      <c r="M267" s="124">
        <v>40</v>
      </c>
      <c r="N267" s="95">
        <f t="shared" si="39"/>
        <v>151227.33000000002</v>
      </c>
      <c r="O267" s="64">
        <v>0</v>
      </c>
      <c r="P267" s="64"/>
      <c r="Q267" s="64"/>
      <c r="R267" s="64">
        <f>+'[12]Приложение № 4'!E240</f>
        <v>151227.33000000002</v>
      </c>
      <c r="S267" s="64"/>
      <c r="T267" s="64"/>
      <c r="U267" s="64">
        <f t="shared" si="36"/>
        <v>182.79845036202545</v>
      </c>
      <c r="V267" s="64">
        <f t="shared" si="36"/>
        <v>182.79845036202545</v>
      </c>
      <c r="W267" s="163" t="s">
        <v>495</v>
      </c>
      <c r="X267" s="156" t="e">
        <f>+N267-#REF!</f>
        <v>#REF!</v>
      </c>
      <c r="Y267" s="153">
        <v>328057.62</v>
      </c>
      <c r="Z267" s="153">
        <f t="shared" si="40"/>
        <v>90340.067999999985</v>
      </c>
      <c r="AB267" s="156" t="e">
        <f>+N267-#REF!</f>
        <v>#REF!</v>
      </c>
      <c r="AC267" s="164">
        <f>+N267-'[12]Приложение № 4'!E240</f>
        <v>0</v>
      </c>
      <c r="AE267" s="165" t="e">
        <f>+N267-#REF!</f>
        <v>#REF!</v>
      </c>
      <c r="AG267" s="3" t="s">
        <v>191</v>
      </c>
      <c r="AH267" s="4">
        <f t="shared" si="38"/>
        <v>168027.09748484468</v>
      </c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>
        <v>144027.09748484468</v>
      </c>
      <c r="AV267" s="4">
        <v>24000</v>
      </c>
      <c r="AW267" s="4"/>
      <c r="AZ267" s="156">
        <f>+N267-'Приложение №4'!E262</f>
        <v>0</v>
      </c>
    </row>
    <row r="268" spans="1:52" ht="15" x14ac:dyDescent="0.25">
      <c r="A268" s="122">
        <f t="shared" si="32"/>
        <v>251</v>
      </c>
      <c r="B268" s="62">
        <f t="shared" si="33"/>
        <v>251</v>
      </c>
      <c r="C268" s="62" t="s">
        <v>53</v>
      </c>
      <c r="D268" s="62" t="s">
        <v>192</v>
      </c>
      <c r="E268" s="123" t="s">
        <v>115</v>
      </c>
      <c r="F268" s="123"/>
      <c r="G268" s="123" t="s">
        <v>96</v>
      </c>
      <c r="H268" s="123" t="s">
        <v>98</v>
      </c>
      <c r="I268" s="123" t="s">
        <v>98</v>
      </c>
      <c r="J268" s="64">
        <v>791.72</v>
      </c>
      <c r="K268" s="64">
        <v>720</v>
      </c>
      <c r="L268" s="64">
        <v>0</v>
      </c>
      <c r="M268" s="124">
        <v>32</v>
      </c>
      <c r="N268" s="95">
        <f t="shared" si="39"/>
        <v>347385.10000000003</v>
      </c>
      <c r="O268" s="64">
        <v>0</v>
      </c>
      <c r="P268" s="64"/>
      <c r="Q268" s="64"/>
      <c r="R268" s="64">
        <f>+'[12]Приложение № 4'!E241</f>
        <v>347385.10000000003</v>
      </c>
      <c r="S268" s="64"/>
      <c r="T268" s="64"/>
      <c r="U268" s="64">
        <f t="shared" si="36"/>
        <v>482.47930555555558</v>
      </c>
      <c r="V268" s="64">
        <f t="shared" si="36"/>
        <v>482.47930555555558</v>
      </c>
      <c r="W268" s="163" t="s">
        <v>495</v>
      </c>
      <c r="X268" s="156" t="e">
        <f>+N268-#REF!</f>
        <v>#REF!</v>
      </c>
      <c r="Y268" s="153">
        <v>232390.71</v>
      </c>
      <c r="Z268" s="153">
        <f t="shared" si="40"/>
        <v>78624</v>
      </c>
      <c r="AB268" s="156" t="e">
        <f>+N268-#REF!</f>
        <v>#REF!</v>
      </c>
      <c r="AC268" s="164">
        <f>+N268-'[12]Приложение № 4'!E241</f>
        <v>0</v>
      </c>
      <c r="AE268" s="165" t="e">
        <f>+N268-#REF!</f>
        <v>#REF!</v>
      </c>
      <c r="AG268" s="3" t="s">
        <v>192</v>
      </c>
      <c r="AH268" s="4">
        <f t="shared" si="38"/>
        <v>361257.85421409586</v>
      </c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>
        <v>320250.96689121588</v>
      </c>
      <c r="AV268" s="4">
        <v>41006.88732288</v>
      </c>
      <c r="AW268" s="4"/>
      <c r="AZ268" s="156">
        <f>+N268-'Приложение №4'!E263</f>
        <v>0</v>
      </c>
    </row>
    <row r="269" spans="1:52" ht="15" x14ac:dyDescent="0.25">
      <c r="A269" s="122">
        <f t="shared" si="32"/>
        <v>252</v>
      </c>
      <c r="B269" s="62">
        <f t="shared" si="33"/>
        <v>252</v>
      </c>
      <c r="C269" s="62" t="s">
        <v>64</v>
      </c>
      <c r="D269" s="62" t="s">
        <v>193</v>
      </c>
      <c r="E269" s="123" t="s">
        <v>122</v>
      </c>
      <c r="F269" s="123"/>
      <c r="G269" s="123" t="s">
        <v>96</v>
      </c>
      <c r="H269" s="123" t="s">
        <v>98</v>
      </c>
      <c r="I269" s="123" t="s">
        <v>101</v>
      </c>
      <c r="J269" s="64">
        <v>984.18</v>
      </c>
      <c r="K269" s="64">
        <v>916.32</v>
      </c>
      <c r="L269" s="64">
        <v>0</v>
      </c>
      <c r="M269" s="124">
        <v>43</v>
      </c>
      <c r="N269" s="95">
        <f t="shared" si="39"/>
        <v>228991.22</v>
      </c>
      <c r="O269" s="64">
        <v>0</v>
      </c>
      <c r="P269" s="64"/>
      <c r="Q269" s="64"/>
      <c r="R269" s="64">
        <f>+'[12]Приложение № 4'!E242</f>
        <v>228991.22</v>
      </c>
      <c r="S269" s="64"/>
      <c r="T269" s="64"/>
      <c r="U269" s="64">
        <f t="shared" si="36"/>
        <v>249.90311244979918</v>
      </c>
      <c r="V269" s="64">
        <f t="shared" si="36"/>
        <v>249.90311244979918</v>
      </c>
      <c r="W269" s="163" t="s">
        <v>495</v>
      </c>
      <c r="X269" s="156" t="e">
        <f>+N269-#REF!</f>
        <v>#REF!</v>
      </c>
      <c r="Y269" s="153">
        <v>331898.69</v>
      </c>
      <c r="Z269" s="153">
        <f t="shared" si="40"/>
        <v>100062.144</v>
      </c>
      <c r="AB269" s="156" t="e">
        <f>+N269-#REF!</f>
        <v>#REF!</v>
      </c>
      <c r="AC269" s="164">
        <f>+N269-'[12]Приложение № 4'!E242</f>
        <v>0</v>
      </c>
      <c r="AE269" s="165" t="e">
        <f>+N269-#REF!</f>
        <v>#REF!</v>
      </c>
      <c r="AG269" s="3" t="s">
        <v>193</v>
      </c>
      <c r="AH269" s="4">
        <f t="shared" si="38"/>
        <v>244214.042208</v>
      </c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>
        <v>220214.042208</v>
      </c>
      <c r="AV269" s="4">
        <v>24000</v>
      </c>
      <c r="AW269" s="4"/>
      <c r="AZ269" s="156">
        <f>+N269-'Приложение №4'!E264</f>
        <v>0</v>
      </c>
    </row>
    <row r="270" spans="1:52" ht="15" x14ac:dyDescent="0.25">
      <c r="A270" s="122">
        <f t="shared" si="32"/>
        <v>253</v>
      </c>
      <c r="B270" s="62">
        <f t="shared" si="33"/>
        <v>253</v>
      </c>
      <c r="C270" s="62" t="s">
        <v>64</v>
      </c>
      <c r="D270" s="62" t="s">
        <v>194</v>
      </c>
      <c r="E270" s="123" t="s">
        <v>104</v>
      </c>
      <c r="F270" s="123"/>
      <c r="G270" s="123" t="s">
        <v>96</v>
      </c>
      <c r="H270" s="123" t="s">
        <v>98</v>
      </c>
      <c r="I270" s="123" t="s">
        <v>101</v>
      </c>
      <c r="J270" s="64">
        <v>1637.71</v>
      </c>
      <c r="K270" s="64">
        <v>1129.21</v>
      </c>
      <c r="L270" s="64">
        <v>0</v>
      </c>
      <c r="M270" s="124">
        <v>43</v>
      </c>
      <c r="N270" s="95">
        <f t="shared" si="39"/>
        <v>243246.87000000002</v>
      </c>
      <c r="O270" s="64">
        <v>0</v>
      </c>
      <c r="P270" s="64"/>
      <c r="Q270" s="64"/>
      <c r="R270" s="64">
        <f>+'[12]Приложение № 4'!E243</f>
        <v>243246.87000000002</v>
      </c>
      <c r="S270" s="64"/>
      <c r="T270" s="64"/>
      <c r="U270" s="64">
        <f t="shared" si="36"/>
        <v>215.41331550375929</v>
      </c>
      <c r="V270" s="64">
        <f t="shared" si="36"/>
        <v>215.41331550375929</v>
      </c>
      <c r="W270" s="163" t="s">
        <v>495</v>
      </c>
      <c r="X270" s="156" t="e">
        <f>+N270-#REF!</f>
        <v>#REF!</v>
      </c>
      <c r="Y270" s="153">
        <v>438737.78</v>
      </c>
      <c r="Z270" s="153">
        <f t="shared" si="40"/>
        <v>123309.73199999999</v>
      </c>
      <c r="AB270" s="156" t="e">
        <f>+N270-#REF!</f>
        <v>#REF!</v>
      </c>
      <c r="AC270" s="164">
        <f>+N270-'[12]Приложение № 4'!E243</f>
        <v>0</v>
      </c>
      <c r="AE270" s="165" t="e">
        <f>+N270-#REF!</f>
        <v>#REF!</v>
      </c>
      <c r="AG270" s="3" t="s">
        <v>194</v>
      </c>
      <c r="AH270" s="4">
        <f t="shared" si="38"/>
        <v>258549.28929599994</v>
      </c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>
        <v>234549.28929599994</v>
      </c>
      <c r="AV270" s="4">
        <v>24000</v>
      </c>
      <c r="AW270" s="4"/>
      <c r="AZ270" s="156">
        <f>+N270-'Приложение №4'!E265</f>
        <v>0</v>
      </c>
    </row>
    <row r="271" spans="1:52" ht="15" x14ac:dyDescent="0.25">
      <c r="A271" s="122">
        <f t="shared" si="32"/>
        <v>254</v>
      </c>
      <c r="B271" s="62">
        <f t="shared" si="33"/>
        <v>254</v>
      </c>
      <c r="C271" s="62" t="s">
        <v>64</v>
      </c>
      <c r="D271" s="62" t="s">
        <v>195</v>
      </c>
      <c r="E271" s="123" t="s">
        <v>124</v>
      </c>
      <c r="F271" s="123"/>
      <c r="G271" s="123" t="s">
        <v>96</v>
      </c>
      <c r="H271" s="123" t="s">
        <v>98</v>
      </c>
      <c r="I271" s="123" t="s">
        <v>98</v>
      </c>
      <c r="J271" s="64">
        <v>729.53</v>
      </c>
      <c r="K271" s="64">
        <v>646.80999999999995</v>
      </c>
      <c r="L271" s="64">
        <v>0</v>
      </c>
      <c r="M271" s="124">
        <v>24</v>
      </c>
      <c r="N271" s="95">
        <f t="shared" si="39"/>
        <v>247222.07</v>
      </c>
      <c r="O271" s="64">
        <v>0</v>
      </c>
      <c r="P271" s="64"/>
      <c r="Q271" s="64"/>
      <c r="R271" s="64">
        <f>+'[12]Приложение № 4'!E244</f>
        <v>247222.07</v>
      </c>
      <c r="S271" s="64"/>
      <c r="T271" s="64"/>
      <c r="U271" s="64">
        <f t="shared" si="36"/>
        <v>382.21745180192022</v>
      </c>
      <c r="V271" s="64">
        <f t="shared" si="36"/>
        <v>382.21745180192022</v>
      </c>
      <c r="W271" s="163" t="s">
        <v>495</v>
      </c>
      <c r="X271" s="156" t="e">
        <f>+N271-#REF!</f>
        <v>#REF!</v>
      </c>
      <c r="Y271" s="153">
        <v>219822.35</v>
      </c>
      <c r="Z271" s="153">
        <f>+(K271*9.1+L271*18.19)*12</f>
        <v>70631.652000000002</v>
      </c>
      <c r="AB271" s="156" t="e">
        <f>+N271-#REF!</f>
        <v>#REF!</v>
      </c>
      <c r="AC271" s="164">
        <f>+N271-'[12]Приложение № 4'!E244</f>
        <v>0</v>
      </c>
      <c r="AE271" s="156" t="e">
        <f>+N271-#REF!</f>
        <v>#REF!</v>
      </c>
      <c r="AG271" s="3" t="s">
        <v>195</v>
      </c>
      <c r="AH271" s="4">
        <f t="shared" si="38"/>
        <v>248419.84446086016</v>
      </c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>
        <v>207603.40182374016</v>
      </c>
      <c r="AV271" s="4">
        <v>40816.442637119995</v>
      </c>
      <c r="AW271" s="4"/>
      <c r="AZ271" s="156">
        <f>+N271-'Приложение №4'!E266</f>
        <v>0</v>
      </c>
    </row>
    <row r="272" spans="1:52" ht="15" x14ac:dyDescent="0.25">
      <c r="A272" s="122">
        <f t="shared" si="32"/>
        <v>255</v>
      </c>
      <c r="B272" s="62">
        <f t="shared" si="33"/>
        <v>255</v>
      </c>
      <c r="C272" s="62" t="s">
        <v>64</v>
      </c>
      <c r="D272" s="62" t="s">
        <v>196</v>
      </c>
      <c r="E272" s="123" t="s">
        <v>134</v>
      </c>
      <c r="F272" s="123"/>
      <c r="G272" s="123" t="s">
        <v>96</v>
      </c>
      <c r="H272" s="123" t="s">
        <v>98</v>
      </c>
      <c r="I272" s="123" t="s">
        <v>98</v>
      </c>
      <c r="J272" s="64">
        <v>730.46</v>
      </c>
      <c r="K272" s="64">
        <v>669.52</v>
      </c>
      <c r="L272" s="64">
        <v>0</v>
      </c>
      <c r="M272" s="124">
        <v>28</v>
      </c>
      <c r="N272" s="95">
        <f t="shared" si="39"/>
        <v>249477.59</v>
      </c>
      <c r="O272" s="64">
        <v>0</v>
      </c>
      <c r="P272" s="64"/>
      <c r="Q272" s="64"/>
      <c r="R272" s="64">
        <f>+'[12]Приложение № 4'!E245</f>
        <v>249477.59</v>
      </c>
      <c r="S272" s="64"/>
      <c r="T272" s="64"/>
      <c r="U272" s="64">
        <f t="shared" si="36"/>
        <v>372.62156470307087</v>
      </c>
      <c r="V272" s="64">
        <f t="shared" si="36"/>
        <v>372.62156470307087</v>
      </c>
      <c r="W272" s="163" t="s">
        <v>495</v>
      </c>
      <c r="X272" s="156" t="e">
        <f>+N272-#REF!</f>
        <v>#REF!</v>
      </c>
      <c r="Y272" s="153">
        <v>286756.65000000002</v>
      </c>
      <c r="Z272" s="153">
        <f>+(K272*9.1+L272*18.19)*12</f>
        <v>73111.584000000003</v>
      </c>
      <c r="AB272" s="156" t="e">
        <f>+N272-#REF!</f>
        <v>#REF!</v>
      </c>
      <c r="AC272" s="164">
        <f>+N272-'[12]Приложение № 4'!E245</f>
        <v>0</v>
      </c>
      <c r="AE272" s="156" t="e">
        <f>+N272-#REF!</f>
        <v>#REF!</v>
      </c>
      <c r="AG272" s="3" t="s">
        <v>196</v>
      </c>
      <c r="AH272" s="4">
        <f t="shared" si="38"/>
        <v>250687.45332886663</v>
      </c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>
        <v>209868.16274902661</v>
      </c>
      <c r="AV272" s="4">
        <v>40819.290579840002</v>
      </c>
      <c r="AW272" s="4"/>
      <c r="AZ272" s="156">
        <f>+N272-'Приложение №4'!E267</f>
        <v>0</v>
      </c>
    </row>
    <row r="273" spans="1:52" ht="15" x14ac:dyDescent="0.25">
      <c r="A273" s="122">
        <f t="shared" si="32"/>
        <v>256</v>
      </c>
      <c r="B273" s="62">
        <f t="shared" si="33"/>
        <v>256</v>
      </c>
      <c r="C273" s="62" t="s">
        <v>64</v>
      </c>
      <c r="D273" s="62" t="s">
        <v>197</v>
      </c>
      <c r="E273" s="123" t="s">
        <v>116</v>
      </c>
      <c r="F273" s="123"/>
      <c r="G273" s="123" t="s">
        <v>96</v>
      </c>
      <c r="H273" s="123" t="s">
        <v>98</v>
      </c>
      <c r="I273" s="123" t="s">
        <v>98</v>
      </c>
      <c r="J273" s="64">
        <v>727.83</v>
      </c>
      <c r="K273" s="64">
        <v>666.9</v>
      </c>
      <c r="L273" s="64">
        <v>0</v>
      </c>
      <c r="M273" s="124">
        <v>20</v>
      </c>
      <c r="N273" s="95">
        <f t="shared" si="39"/>
        <v>249497.74000000005</v>
      </c>
      <c r="O273" s="64">
        <v>0</v>
      </c>
      <c r="P273" s="64"/>
      <c r="Q273" s="64"/>
      <c r="R273" s="64">
        <f>+'[12]Приложение № 4'!E246</f>
        <v>249497.74000000005</v>
      </c>
      <c r="S273" s="64"/>
      <c r="T273" s="64"/>
      <c r="U273" s="64">
        <f t="shared" si="36"/>
        <v>374.11566951566959</v>
      </c>
      <c r="V273" s="64">
        <f t="shared" si="36"/>
        <v>374.11566951566959</v>
      </c>
      <c r="W273" s="163" t="s">
        <v>495</v>
      </c>
      <c r="X273" s="156" t="e">
        <f>+N273-#REF!</f>
        <v>#REF!</v>
      </c>
      <c r="Y273" s="153">
        <v>244293.03</v>
      </c>
      <c r="Z273" s="153">
        <f>+(K273*9.1+L273*18.19)*12</f>
        <v>72825.48</v>
      </c>
      <c r="AB273" s="156" t="e">
        <f>+N273-#REF!</f>
        <v>#REF!</v>
      </c>
      <c r="AC273" s="164">
        <f>+N273-'[12]Приложение № 4'!E246</f>
        <v>0</v>
      </c>
      <c r="AE273" s="156" t="e">
        <f>+N273-#REF!</f>
        <v>#REF!</v>
      </c>
      <c r="AG273" s="3" t="s">
        <v>197</v>
      </c>
      <c r="AH273" s="4">
        <f t="shared" si="38"/>
        <v>250707.70898091263</v>
      </c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>
        <v>209896.47226059262</v>
      </c>
      <c r="AV273" s="4">
        <v>40811.236720319997</v>
      </c>
      <c r="AW273" s="4"/>
      <c r="AZ273" s="156">
        <f>+N273-'Приложение №4'!E268</f>
        <v>0</v>
      </c>
    </row>
    <row r="274" spans="1:52" ht="15" x14ac:dyDescent="0.25">
      <c r="A274" s="122">
        <f t="shared" si="32"/>
        <v>257</v>
      </c>
      <c r="B274" s="62">
        <f t="shared" si="33"/>
        <v>257</v>
      </c>
      <c r="C274" s="62" t="s">
        <v>64</v>
      </c>
      <c r="D274" s="62" t="s">
        <v>559</v>
      </c>
      <c r="E274" s="123">
        <v>1988</v>
      </c>
      <c r="F274" s="123">
        <v>2011</v>
      </c>
      <c r="G274" s="123" t="s">
        <v>43</v>
      </c>
      <c r="H274" s="123">
        <v>2</v>
      </c>
      <c r="I274" s="123">
        <v>2</v>
      </c>
      <c r="J274" s="64">
        <v>884.7</v>
      </c>
      <c r="K274" s="64">
        <v>818.23</v>
      </c>
      <c r="L274" s="64">
        <v>0</v>
      </c>
      <c r="M274" s="124">
        <v>30</v>
      </c>
      <c r="N274" s="95">
        <f>+P274+Q274+R274+S274+T274</f>
        <v>24000</v>
      </c>
      <c r="O274" s="64"/>
      <c r="P274" s="64"/>
      <c r="Q274" s="64"/>
      <c r="R274" s="64">
        <f>+'[12]Приложение № 4'!E247</f>
        <v>24000</v>
      </c>
      <c r="S274" s="64"/>
      <c r="T274" s="64"/>
      <c r="U274" s="64">
        <f t="shared" si="36"/>
        <v>29.331606027645037</v>
      </c>
      <c r="V274" s="64">
        <f t="shared" si="36"/>
        <v>29.331606027645037</v>
      </c>
      <c r="W274" s="163" t="s">
        <v>495</v>
      </c>
      <c r="AC274" s="164">
        <f>+N274-'[12]Приложение № 4'!E247</f>
        <v>0</v>
      </c>
      <c r="AG274" s="166" t="s">
        <v>559</v>
      </c>
      <c r="AH274" s="4">
        <f t="shared" si="38"/>
        <v>61088.724600000001</v>
      </c>
      <c r="AI274" s="167"/>
      <c r="AJ274" s="167"/>
      <c r="AK274" s="167"/>
      <c r="AL274" s="167"/>
      <c r="AM274" s="167"/>
      <c r="AN274" s="167"/>
      <c r="AO274" s="167"/>
      <c r="AP274" s="167"/>
      <c r="AQ274" s="167"/>
      <c r="AR274" s="167"/>
      <c r="AS274" s="167"/>
      <c r="AT274" s="167"/>
      <c r="AU274" s="167"/>
      <c r="AV274" s="168">
        <v>61088.724600000001</v>
      </c>
      <c r="AW274" s="168"/>
      <c r="AZ274" s="156">
        <f>+N274-'Приложение №4'!E269</f>
        <v>0</v>
      </c>
    </row>
    <row r="275" spans="1:52" ht="15" x14ac:dyDescent="0.25">
      <c r="A275" s="122">
        <f t="shared" si="32"/>
        <v>258</v>
      </c>
      <c r="B275" s="62">
        <f t="shared" si="33"/>
        <v>258</v>
      </c>
      <c r="C275" s="62" t="s">
        <v>54</v>
      </c>
      <c r="D275" s="62" t="s">
        <v>198</v>
      </c>
      <c r="E275" s="123" t="s">
        <v>104</v>
      </c>
      <c r="F275" s="123"/>
      <c r="G275" s="123" t="s">
        <v>96</v>
      </c>
      <c r="H275" s="123" t="s">
        <v>101</v>
      </c>
      <c r="I275" s="123" t="s">
        <v>98</v>
      </c>
      <c r="J275" s="64">
        <v>1071.67</v>
      </c>
      <c r="K275" s="64">
        <v>950.27</v>
      </c>
      <c r="L275" s="64">
        <v>0</v>
      </c>
      <c r="M275" s="124">
        <v>26</v>
      </c>
      <c r="N275" s="95">
        <f t="shared" si="39"/>
        <v>361702.52</v>
      </c>
      <c r="O275" s="64">
        <v>0</v>
      </c>
      <c r="P275" s="64"/>
      <c r="Q275" s="64"/>
      <c r="R275" s="64">
        <f>+'[12]Приложение № 4'!E248</f>
        <v>361702.52</v>
      </c>
      <c r="S275" s="64"/>
      <c r="T275" s="64"/>
      <c r="U275" s="64">
        <f t="shared" si="36"/>
        <v>380.6313153103855</v>
      </c>
      <c r="V275" s="64">
        <f t="shared" si="36"/>
        <v>380.6313153103855</v>
      </c>
      <c r="W275" s="163" t="s">
        <v>495</v>
      </c>
      <c r="X275" s="156" t="e">
        <f>+N275-#REF!</f>
        <v>#REF!</v>
      </c>
      <c r="Y275" s="153">
        <v>342448.15</v>
      </c>
      <c r="Z275" s="153">
        <f t="shared" ref="Z275:Z299" si="41">+(K275*9.1+L275*18.19)*12</f>
        <v>103769.484</v>
      </c>
      <c r="AB275" s="156" t="e">
        <f>+N275-#REF!</f>
        <v>#REF!</v>
      </c>
      <c r="AC275" s="164">
        <f>+N275-'[12]Приложение № 4'!E248</f>
        <v>0</v>
      </c>
      <c r="AE275" s="165" t="e">
        <f>+N275-#REF!</f>
        <v>#REF!</v>
      </c>
      <c r="AG275" s="3" t="s">
        <v>198</v>
      </c>
      <c r="AH275" s="4">
        <f t="shared" si="38"/>
        <v>377666.39284799999</v>
      </c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>
        <v>353666.39284799999</v>
      </c>
      <c r="AV275" s="4">
        <v>24000</v>
      </c>
      <c r="AW275" s="4"/>
      <c r="AZ275" s="156">
        <f>+N275-'Приложение №4'!E270</f>
        <v>0</v>
      </c>
    </row>
    <row r="276" spans="1:52" ht="15" x14ac:dyDescent="0.25">
      <c r="A276" s="122">
        <f t="shared" ref="A276:A339" si="42">+A275+1</f>
        <v>259</v>
      </c>
      <c r="B276" s="62">
        <f t="shared" ref="B276:B339" si="43">+B275+1</f>
        <v>259</v>
      </c>
      <c r="C276" s="62" t="s">
        <v>54</v>
      </c>
      <c r="D276" s="62" t="s">
        <v>199</v>
      </c>
      <c r="E276" s="123" t="s">
        <v>106</v>
      </c>
      <c r="F276" s="123"/>
      <c r="G276" s="123" t="s">
        <v>96</v>
      </c>
      <c r="H276" s="123" t="s">
        <v>98</v>
      </c>
      <c r="I276" s="123" t="s">
        <v>102</v>
      </c>
      <c r="J276" s="64">
        <v>1135.04</v>
      </c>
      <c r="K276" s="64">
        <v>698.56</v>
      </c>
      <c r="L276" s="64">
        <v>0</v>
      </c>
      <c r="M276" s="124">
        <v>24</v>
      </c>
      <c r="N276" s="95">
        <f t="shared" si="39"/>
        <v>267536.37</v>
      </c>
      <c r="O276" s="64">
        <v>0</v>
      </c>
      <c r="P276" s="64"/>
      <c r="Q276" s="64"/>
      <c r="R276" s="64">
        <f>+'[12]Приложение № 4'!E249</f>
        <v>267536.37</v>
      </c>
      <c r="S276" s="64"/>
      <c r="T276" s="64"/>
      <c r="U276" s="64">
        <f t="shared" si="36"/>
        <v>382.98266433806691</v>
      </c>
      <c r="V276" s="64">
        <f t="shared" si="36"/>
        <v>382.98266433806691</v>
      </c>
      <c r="W276" s="163" t="s">
        <v>495</v>
      </c>
      <c r="X276" s="156" t="e">
        <f>+N276-#REF!</f>
        <v>#REF!</v>
      </c>
      <c r="Y276" s="153">
        <v>263633.98</v>
      </c>
      <c r="Z276" s="153">
        <f t="shared" si="41"/>
        <v>76282.751999999979</v>
      </c>
      <c r="AB276" s="156" t="e">
        <f>+N276-#REF!</f>
        <v>#REF!</v>
      </c>
      <c r="AC276" s="164">
        <f>+N276-'[12]Приложение № 4'!E249</f>
        <v>0</v>
      </c>
      <c r="AE276" s="165" t="e">
        <f>+N276-#REF!</f>
        <v>#REF!</v>
      </c>
      <c r="AG276" s="3" t="s">
        <v>199</v>
      </c>
      <c r="AH276" s="4">
        <f t="shared" si="38"/>
        <v>282974.43494399998</v>
      </c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>
        <v>258974.43494400001</v>
      </c>
      <c r="AV276" s="4">
        <v>24000</v>
      </c>
      <c r="AW276" s="4"/>
      <c r="AZ276" s="156">
        <f>+N276-'Приложение №4'!E271</f>
        <v>0</v>
      </c>
    </row>
    <row r="277" spans="1:52" ht="15" x14ac:dyDescent="0.25">
      <c r="A277" s="122">
        <f t="shared" si="42"/>
        <v>260</v>
      </c>
      <c r="B277" s="62">
        <f t="shared" si="43"/>
        <v>260</v>
      </c>
      <c r="C277" s="62" t="s">
        <v>54</v>
      </c>
      <c r="D277" s="62" t="s">
        <v>200</v>
      </c>
      <c r="E277" s="123" t="s">
        <v>124</v>
      </c>
      <c r="F277" s="123"/>
      <c r="G277" s="123" t="s">
        <v>96</v>
      </c>
      <c r="H277" s="123" t="s">
        <v>98</v>
      </c>
      <c r="I277" s="123" t="s">
        <v>98</v>
      </c>
      <c r="J277" s="64">
        <v>428.97</v>
      </c>
      <c r="K277" s="64">
        <v>374.17</v>
      </c>
      <c r="L277" s="64">
        <v>0</v>
      </c>
      <c r="M277" s="124">
        <v>11</v>
      </c>
      <c r="N277" s="95">
        <f t="shared" si="39"/>
        <v>106870.23</v>
      </c>
      <c r="O277" s="64">
        <v>0</v>
      </c>
      <c r="P277" s="64"/>
      <c r="Q277" s="64"/>
      <c r="R277" s="64">
        <f>+'[12]Приложение № 4'!E250</f>
        <v>106870.23</v>
      </c>
      <c r="S277" s="64"/>
      <c r="T277" s="64"/>
      <c r="U277" s="64">
        <f t="shared" si="36"/>
        <v>285.61945105166097</v>
      </c>
      <c r="V277" s="64">
        <f t="shared" si="36"/>
        <v>285.61945105166097</v>
      </c>
      <c r="W277" s="163" t="s">
        <v>495</v>
      </c>
      <c r="X277" s="156" t="e">
        <f>+N277-#REF!</f>
        <v>#REF!</v>
      </c>
      <c r="Y277" s="153">
        <v>155146.01999999999</v>
      </c>
      <c r="Z277" s="153">
        <f t="shared" si="41"/>
        <v>40859.364000000001</v>
      </c>
      <c r="AB277" s="156" t="e">
        <f>+N277-#REF!</f>
        <v>#REF!</v>
      </c>
      <c r="AC277" s="164">
        <f>+N277-'[12]Приложение № 4'!E250</f>
        <v>0</v>
      </c>
      <c r="AE277" s="165" t="e">
        <f>+N277-#REF!</f>
        <v>#REF!</v>
      </c>
      <c r="AG277" s="3" t="s">
        <v>200</v>
      </c>
      <c r="AH277" s="4">
        <f t="shared" si="38"/>
        <v>123422.31076458865</v>
      </c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>
        <v>83526.274217708647</v>
      </c>
      <c r="AV277" s="4">
        <v>39896.036546880001</v>
      </c>
      <c r="AW277" s="4"/>
      <c r="AZ277" s="156">
        <f>+N277-'Приложение №4'!E272</f>
        <v>0</v>
      </c>
    </row>
    <row r="278" spans="1:52" ht="15" x14ac:dyDescent="0.25">
      <c r="A278" s="122">
        <f t="shared" si="42"/>
        <v>261</v>
      </c>
      <c r="B278" s="62">
        <f t="shared" si="43"/>
        <v>261</v>
      </c>
      <c r="C278" s="62" t="s">
        <v>55</v>
      </c>
      <c r="D278" s="62" t="s">
        <v>471</v>
      </c>
      <c r="E278" s="123" t="s">
        <v>121</v>
      </c>
      <c r="F278" s="123"/>
      <c r="G278" s="123" t="s">
        <v>96</v>
      </c>
      <c r="H278" s="123" t="s">
        <v>98</v>
      </c>
      <c r="I278" s="123" t="s">
        <v>98</v>
      </c>
      <c r="J278" s="64">
        <v>915</v>
      </c>
      <c r="K278" s="64">
        <v>889.38</v>
      </c>
      <c r="L278" s="64">
        <v>0</v>
      </c>
      <c r="M278" s="124">
        <v>32</v>
      </c>
      <c r="N278" s="95">
        <f>+P278+Q278+R278+S278+T278</f>
        <v>159665.22</v>
      </c>
      <c r="O278" s="64">
        <v>0</v>
      </c>
      <c r="P278" s="64"/>
      <c r="Q278" s="64"/>
      <c r="R278" s="64">
        <f>+'[12]Приложение № 4'!E251</f>
        <v>159665.22</v>
      </c>
      <c r="S278" s="64"/>
      <c r="T278" s="64"/>
      <c r="U278" s="64">
        <f t="shared" si="36"/>
        <v>179.52418538757337</v>
      </c>
      <c r="V278" s="64">
        <f t="shared" si="36"/>
        <v>179.52418538757337</v>
      </c>
      <c r="W278" s="163" t="s">
        <v>495</v>
      </c>
      <c r="X278" s="156" t="e">
        <f>+N278-#REF!</f>
        <v>#REF!</v>
      </c>
      <c r="Y278" s="153">
        <v>308178.09000000003</v>
      </c>
      <c r="Z278" s="153">
        <f>+(K278*9.1+L278*18.19)*12</f>
        <v>97120.295999999988</v>
      </c>
      <c r="AB278" s="156" t="e">
        <f>+N278-#REF!</f>
        <v>#REF!</v>
      </c>
      <c r="AC278" s="164">
        <f>+N278-'[12]Приложение № 4'!E251</f>
        <v>0</v>
      </c>
      <c r="AE278" s="165" t="e">
        <f>+N278-#REF!</f>
        <v>#REF!</v>
      </c>
      <c r="AG278" s="3" t="s">
        <v>471</v>
      </c>
      <c r="AH278" s="4">
        <f t="shared" si="38"/>
        <v>777318.64999999991</v>
      </c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>
        <v>706653.32</v>
      </c>
      <c r="AV278" s="4">
        <v>70665.33</v>
      </c>
      <c r="AW278" s="4"/>
      <c r="AZ278" s="156">
        <f>+N278-'Приложение №4'!E273</f>
        <v>0</v>
      </c>
    </row>
    <row r="279" spans="1:52" ht="15" x14ac:dyDescent="0.25">
      <c r="A279" s="122">
        <f t="shared" si="42"/>
        <v>262</v>
      </c>
      <c r="B279" s="62">
        <f t="shared" si="43"/>
        <v>262</v>
      </c>
      <c r="C279" s="62" t="s">
        <v>55</v>
      </c>
      <c r="D279" s="62" t="s">
        <v>472</v>
      </c>
      <c r="E279" s="123" t="s">
        <v>121</v>
      </c>
      <c r="F279" s="123"/>
      <c r="G279" s="123" t="s">
        <v>96</v>
      </c>
      <c r="H279" s="123" t="s">
        <v>101</v>
      </c>
      <c r="I279" s="123" t="s">
        <v>98</v>
      </c>
      <c r="J279" s="64">
        <v>1015</v>
      </c>
      <c r="K279" s="64">
        <v>918.14</v>
      </c>
      <c r="L279" s="64">
        <v>0</v>
      </c>
      <c r="M279" s="124">
        <v>40</v>
      </c>
      <c r="N279" s="95">
        <f>+P279+Q279+R279+S279+T279</f>
        <v>295192.57</v>
      </c>
      <c r="O279" s="64">
        <v>0</v>
      </c>
      <c r="P279" s="64"/>
      <c r="Q279" s="64"/>
      <c r="R279" s="64">
        <f>+'[12]Приложение № 4'!E252</f>
        <v>295192.57</v>
      </c>
      <c r="S279" s="64"/>
      <c r="T279" s="64"/>
      <c r="U279" s="64">
        <f t="shared" si="36"/>
        <v>321.51150151393034</v>
      </c>
      <c r="V279" s="64">
        <f t="shared" si="36"/>
        <v>321.51150151393034</v>
      </c>
      <c r="W279" s="163" t="s">
        <v>495</v>
      </c>
      <c r="X279" s="156" t="e">
        <f>+N279-#REF!</f>
        <v>#REF!</v>
      </c>
      <c r="Y279" s="153">
        <v>317541.37</v>
      </c>
      <c r="Z279" s="153">
        <f>+(K279*9.1+L279*18.19)*12</f>
        <v>100260.88799999998</v>
      </c>
      <c r="AB279" s="156" t="e">
        <f>+N279-#REF!</f>
        <v>#REF!</v>
      </c>
      <c r="AC279" s="164">
        <f>+N279-'[12]Приложение № 4'!E252</f>
        <v>0</v>
      </c>
      <c r="AE279" s="165" t="e">
        <f>+N279-#REF!</f>
        <v>#REF!</v>
      </c>
      <c r="AG279" s="3" t="s">
        <v>472</v>
      </c>
      <c r="AH279" s="4">
        <f t="shared" si="38"/>
        <v>755151.69000000006</v>
      </c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>
        <v>686501.54</v>
      </c>
      <c r="AV279" s="4">
        <v>68650.149999999994</v>
      </c>
      <c r="AW279" s="4"/>
      <c r="AZ279" s="156">
        <f>+N279-'Приложение №4'!E274</f>
        <v>0</v>
      </c>
    </row>
    <row r="280" spans="1:52" ht="15" x14ac:dyDescent="0.25">
      <c r="A280" s="122">
        <f t="shared" si="42"/>
        <v>263</v>
      </c>
      <c r="B280" s="62">
        <f t="shared" si="43"/>
        <v>263</v>
      </c>
      <c r="C280" s="62" t="s">
        <v>55</v>
      </c>
      <c r="D280" s="62" t="s">
        <v>473</v>
      </c>
      <c r="E280" s="123" t="s">
        <v>121</v>
      </c>
      <c r="F280" s="123"/>
      <c r="G280" s="123" t="s">
        <v>96</v>
      </c>
      <c r="H280" s="123" t="s">
        <v>101</v>
      </c>
      <c r="I280" s="123" t="s">
        <v>98</v>
      </c>
      <c r="J280" s="64">
        <v>1015</v>
      </c>
      <c r="K280" s="64">
        <v>913.24</v>
      </c>
      <c r="L280" s="64">
        <v>0</v>
      </c>
      <c r="M280" s="124">
        <v>40</v>
      </c>
      <c r="N280" s="95">
        <f>+P280+Q280+R280+S280+T280</f>
        <v>490976.17999999993</v>
      </c>
      <c r="O280" s="64">
        <v>0</v>
      </c>
      <c r="P280" s="64"/>
      <c r="Q280" s="64"/>
      <c r="R280" s="64">
        <f>+'[12]Приложение № 4'!E253</f>
        <v>490976.17999999993</v>
      </c>
      <c r="S280" s="64"/>
      <c r="T280" s="64"/>
      <c r="U280" s="64">
        <f t="shared" si="36"/>
        <v>537.62009986421958</v>
      </c>
      <c r="V280" s="64">
        <f t="shared" si="36"/>
        <v>537.62009986421958</v>
      </c>
      <c r="W280" s="163" t="s">
        <v>495</v>
      </c>
      <c r="X280" s="156" t="e">
        <f>+N280-#REF!</f>
        <v>#REF!</v>
      </c>
      <c r="Y280" s="153">
        <v>383792.99</v>
      </c>
      <c r="Z280" s="153">
        <f>+(K280*9.1+L280*18.19)*12</f>
        <v>99725.808000000005</v>
      </c>
      <c r="AB280" s="156" t="e">
        <f>+N280-#REF!</f>
        <v>#REF!</v>
      </c>
      <c r="AC280" s="164">
        <f>+N280-'[12]Приложение № 4'!E253</f>
        <v>0</v>
      </c>
      <c r="AE280" s="165" t="e">
        <f>+N280-#REF!</f>
        <v>#REF!</v>
      </c>
      <c r="AG280" s="3" t="s">
        <v>473</v>
      </c>
      <c r="AH280" s="4">
        <f t="shared" si="38"/>
        <v>751121.55</v>
      </c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>
        <v>682837.77</v>
      </c>
      <c r="AV280" s="4">
        <v>68283.78</v>
      </c>
      <c r="AW280" s="4"/>
      <c r="AZ280" s="156">
        <f>+N280-'Приложение №4'!E275</f>
        <v>0</v>
      </c>
    </row>
    <row r="281" spans="1:52" ht="15" x14ac:dyDescent="0.25">
      <c r="A281" s="122">
        <f t="shared" si="42"/>
        <v>264</v>
      </c>
      <c r="B281" s="62">
        <f t="shared" si="43"/>
        <v>264</v>
      </c>
      <c r="C281" s="62" t="s">
        <v>55</v>
      </c>
      <c r="D281" s="62" t="s">
        <v>474</v>
      </c>
      <c r="E281" s="123" t="s">
        <v>120</v>
      </c>
      <c r="F281" s="123"/>
      <c r="G281" s="123" t="s">
        <v>96</v>
      </c>
      <c r="H281" s="123" t="s">
        <v>105</v>
      </c>
      <c r="I281" s="123" t="s">
        <v>105</v>
      </c>
      <c r="J281" s="64">
        <v>2725</v>
      </c>
      <c r="K281" s="64">
        <v>2467.31</v>
      </c>
      <c r="L281" s="64">
        <v>0</v>
      </c>
      <c r="M281" s="124">
        <v>84</v>
      </c>
      <c r="N281" s="95">
        <f>+P281+Q281+R281+S281+T281</f>
        <v>525619.65</v>
      </c>
      <c r="O281" s="64">
        <v>0</v>
      </c>
      <c r="P281" s="64"/>
      <c r="Q281" s="64"/>
      <c r="R281" s="64">
        <f>+'[12]Приложение № 4'!E254</f>
        <v>525619.65</v>
      </c>
      <c r="S281" s="64"/>
      <c r="T281" s="64"/>
      <c r="U281" s="64">
        <f t="shared" si="36"/>
        <v>213.03348586112003</v>
      </c>
      <c r="V281" s="64">
        <f t="shared" si="36"/>
        <v>213.03348586112003</v>
      </c>
      <c r="W281" s="163" t="s">
        <v>495</v>
      </c>
      <c r="X281" s="156" t="e">
        <f>+N281-#REF!</f>
        <v>#REF!</v>
      </c>
      <c r="Y281" s="153">
        <v>932668.76</v>
      </c>
      <c r="Z281" s="153">
        <f>+(K281*9.1+L281*18.19)*12</f>
        <v>269430.25199999998</v>
      </c>
      <c r="AB281" s="156" t="e">
        <f>+N281-#REF!</f>
        <v>#REF!</v>
      </c>
      <c r="AC281" s="164">
        <f>+N281-'[12]Приложение № 4'!E254</f>
        <v>0</v>
      </c>
      <c r="AE281" s="165" t="e">
        <f>+N281-#REF!</f>
        <v>#REF!</v>
      </c>
      <c r="AG281" s="3" t="s">
        <v>474</v>
      </c>
      <c r="AH281" s="4">
        <f t="shared" si="38"/>
        <v>1166995.6900000002</v>
      </c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>
        <v>1050296.1200000001</v>
      </c>
      <c r="AV281" s="4">
        <v>116699.57</v>
      </c>
      <c r="AW281" s="4"/>
      <c r="AZ281" s="156">
        <f>+N281-'Приложение №4'!E276</f>
        <v>0</v>
      </c>
    </row>
    <row r="282" spans="1:52" ht="15" x14ac:dyDescent="0.25">
      <c r="A282" s="122">
        <f t="shared" si="42"/>
        <v>265</v>
      </c>
      <c r="B282" s="62">
        <f t="shared" si="43"/>
        <v>265</v>
      </c>
      <c r="C282" s="62" t="s">
        <v>55</v>
      </c>
      <c r="D282" s="62" t="s">
        <v>201</v>
      </c>
      <c r="E282" s="123" t="s">
        <v>106</v>
      </c>
      <c r="F282" s="123"/>
      <c r="G282" s="123" t="s">
        <v>96</v>
      </c>
      <c r="H282" s="123" t="s">
        <v>98</v>
      </c>
      <c r="I282" s="123" t="s">
        <v>98</v>
      </c>
      <c r="J282" s="64">
        <v>1396.88</v>
      </c>
      <c r="K282" s="64">
        <v>1292.6300000000001</v>
      </c>
      <c r="L282" s="64">
        <v>0</v>
      </c>
      <c r="M282" s="124">
        <v>12</v>
      </c>
      <c r="N282" s="95">
        <f t="shared" si="39"/>
        <v>935051.49</v>
      </c>
      <c r="O282" s="64">
        <v>0</v>
      </c>
      <c r="P282" s="64"/>
      <c r="Q282" s="64"/>
      <c r="R282" s="64">
        <f>+'[12]Приложение № 4'!E255</f>
        <v>935051.49</v>
      </c>
      <c r="S282" s="64"/>
      <c r="T282" s="64"/>
      <c r="U282" s="64">
        <f t="shared" si="36"/>
        <v>723.37133595847217</v>
      </c>
      <c r="V282" s="64">
        <f t="shared" si="36"/>
        <v>723.37133595847217</v>
      </c>
      <c r="W282" s="163" t="s">
        <v>495</v>
      </c>
      <c r="X282" s="156" t="e">
        <f>+N282-#REF!</f>
        <v>#REF!</v>
      </c>
      <c r="Y282" s="153">
        <v>429374.77</v>
      </c>
      <c r="Z282" s="153">
        <f t="shared" si="41"/>
        <v>141155.196</v>
      </c>
      <c r="AB282" s="156" t="e">
        <f>+N282-#REF!</f>
        <v>#REF!</v>
      </c>
      <c r="AC282" s="164">
        <f>+N282-'[12]Приложение № 4'!E255</f>
        <v>0</v>
      </c>
      <c r="AE282" s="165" t="e">
        <f>+N282-#REF!</f>
        <v>#REF!</v>
      </c>
      <c r="AG282" s="3" t="s">
        <v>201</v>
      </c>
      <c r="AH282" s="4">
        <f t="shared" si="38"/>
        <v>160395.14415753598</v>
      </c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>
        <v>136395.14415753598</v>
      </c>
      <c r="AV282" s="4">
        <v>24000</v>
      </c>
      <c r="AW282" s="4"/>
      <c r="AZ282" s="156">
        <f>+N282-'Приложение №4'!E277</f>
        <v>0</v>
      </c>
    </row>
    <row r="283" spans="1:52" ht="15" x14ac:dyDescent="0.25">
      <c r="A283" s="122">
        <f t="shared" si="42"/>
        <v>266</v>
      </c>
      <c r="B283" s="62">
        <f t="shared" si="43"/>
        <v>266</v>
      </c>
      <c r="C283" s="62" t="s">
        <v>55</v>
      </c>
      <c r="D283" s="62" t="s">
        <v>202</v>
      </c>
      <c r="E283" s="123" t="s">
        <v>505</v>
      </c>
      <c r="F283" s="123"/>
      <c r="G283" s="123" t="s">
        <v>96</v>
      </c>
      <c r="H283" s="123" t="s">
        <v>98</v>
      </c>
      <c r="I283" s="123" t="s">
        <v>98</v>
      </c>
      <c r="J283" s="64">
        <v>1068.6199999999999</v>
      </c>
      <c r="K283" s="64">
        <v>383.54</v>
      </c>
      <c r="L283" s="64">
        <v>254.2</v>
      </c>
      <c r="M283" s="124">
        <v>27</v>
      </c>
      <c r="N283" s="95">
        <f t="shared" si="39"/>
        <v>136292.94</v>
      </c>
      <c r="O283" s="64">
        <v>0</v>
      </c>
      <c r="P283" s="64"/>
      <c r="Q283" s="64"/>
      <c r="R283" s="64">
        <f>+'[12]Приложение № 4'!E256</f>
        <v>136292.94</v>
      </c>
      <c r="S283" s="64"/>
      <c r="T283" s="64"/>
      <c r="U283" s="64">
        <f t="shared" si="36"/>
        <v>213.71239062941009</v>
      </c>
      <c r="V283" s="64">
        <f t="shared" si="36"/>
        <v>213.71239062941009</v>
      </c>
      <c r="W283" s="163" t="s">
        <v>495</v>
      </c>
      <c r="X283" s="156" t="e">
        <f>+N283-#REF!</f>
        <v>#REF!</v>
      </c>
      <c r="Y283" s="153">
        <v>200081.03</v>
      </c>
      <c r="Z283" s="153">
        <f t="shared" si="41"/>
        <v>97369.343999999997</v>
      </c>
      <c r="AB283" s="156" t="e">
        <f>+N283-#REF!</f>
        <v>#REF!</v>
      </c>
      <c r="AC283" s="164">
        <f>+N283-'[12]Приложение № 4'!E256</f>
        <v>0</v>
      </c>
      <c r="AE283" s="165" t="e">
        <f>+N283-#REF!</f>
        <v>#REF!</v>
      </c>
      <c r="AG283" s="3" t="s">
        <v>202</v>
      </c>
      <c r="AH283" s="4">
        <f t="shared" si="38"/>
        <v>136897.11619527361</v>
      </c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>
        <v>95042.276894793613</v>
      </c>
      <c r="AV283" s="4">
        <v>41854.839300480002</v>
      </c>
      <c r="AW283" s="4"/>
      <c r="AZ283" s="156">
        <f>+N283-'Приложение №4'!E278</f>
        <v>0</v>
      </c>
    </row>
    <row r="284" spans="1:52" ht="15" x14ac:dyDescent="0.25">
      <c r="A284" s="122">
        <f t="shared" si="42"/>
        <v>267</v>
      </c>
      <c r="B284" s="62">
        <f t="shared" si="43"/>
        <v>267</v>
      </c>
      <c r="C284" s="62" t="s">
        <v>55</v>
      </c>
      <c r="D284" s="62" t="s">
        <v>203</v>
      </c>
      <c r="E284" s="123" t="s">
        <v>501</v>
      </c>
      <c r="F284" s="123"/>
      <c r="G284" s="123" t="s">
        <v>96</v>
      </c>
      <c r="H284" s="123" t="s">
        <v>98</v>
      </c>
      <c r="I284" s="123" t="s">
        <v>98</v>
      </c>
      <c r="J284" s="64">
        <v>645.32000000000005</v>
      </c>
      <c r="K284" s="64">
        <v>377.82</v>
      </c>
      <c r="L284" s="64">
        <v>218.22</v>
      </c>
      <c r="M284" s="124">
        <v>18</v>
      </c>
      <c r="N284" s="95">
        <f t="shared" si="39"/>
        <v>134720.23000000001</v>
      </c>
      <c r="O284" s="64">
        <v>0</v>
      </c>
      <c r="P284" s="64"/>
      <c r="Q284" s="64"/>
      <c r="R284" s="64">
        <f>+'[12]Приложение № 4'!E257</f>
        <v>134720.23000000001</v>
      </c>
      <c r="S284" s="64"/>
      <c r="T284" s="64"/>
      <c r="U284" s="64">
        <f t="shared" si="36"/>
        <v>226.02548486678751</v>
      </c>
      <c r="V284" s="64">
        <f t="shared" si="36"/>
        <v>226.02548486678751</v>
      </c>
      <c r="W284" s="163" t="s">
        <v>495</v>
      </c>
      <c r="X284" s="156" t="e">
        <f>+N284-#REF!</f>
        <v>#REF!</v>
      </c>
      <c r="Y284" s="153">
        <v>215114.18</v>
      </c>
      <c r="Z284" s="153">
        <f t="shared" si="41"/>
        <v>88891.005600000004</v>
      </c>
      <c r="AB284" s="156" t="e">
        <f>+N284-#REF!</f>
        <v>#REF!</v>
      </c>
      <c r="AC284" s="164">
        <f>+N284-'[12]Приложение № 4'!E257</f>
        <v>0</v>
      </c>
      <c r="AE284" s="165" t="e">
        <f>+N284-#REF!</f>
        <v>#REF!</v>
      </c>
      <c r="AG284" s="3" t="s">
        <v>203</v>
      </c>
      <c r="AH284" s="4">
        <f t="shared" si="38"/>
        <v>135315.94467408097</v>
      </c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>
        <v>94757.378656800967</v>
      </c>
      <c r="AV284" s="4">
        <v>40558.566017279998</v>
      </c>
      <c r="AW284" s="4"/>
      <c r="AZ284" s="156">
        <f>+N284-'Приложение №4'!E279</f>
        <v>0</v>
      </c>
    </row>
    <row r="285" spans="1:52" ht="15" x14ac:dyDescent="0.25">
      <c r="A285" s="122">
        <f t="shared" si="42"/>
        <v>268</v>
      </c>
      <c r="B285" s="62">
        <f t="shared" si="43"/>
        <v>268</v>
      </c>
      <c r="C285" s="62" t="s">
        <v>55</v>
      </c>
      <c r="D285" s="62" t="s">
        <v>372</v>
      </c>
      <c r="E285" s="123">
        <v>1984</v>
      </c>
      <c r="F285" s="123">
        <v>2008</v>
      </c>
      <c r="G285" s="123" t="s">
        <v>43</v>
      </c>
      <c r="H285" s="123">
        <v>4</v>
      </c>
      <c r="I285" s="123">
        <v>4</v>
      </c>
      <c r="J285" s="64">
        <v>2701.2</v>
      </c>
      <c r="K285" s="64">
        <v>1685.9</v>
      </c>
      <c r="L285" s="64">
        <v>791.3</v>
      </c>
      <c r="M285" s="124">
        <v>131</v>
      </c>
      <c r="N285" s="95">
        <f>+P285+Q285+R285+S285+T285</f>
        <v>519241.49000000005</v>
      </c>
      <c r="O285" s="64"/>
      <c r="P285" s="64"/>
      <c r="Q285" s="64"/>
      <c r="R285" s="64">
        <f>+'[12]Приложение № 4'!E258</f>
        <v>519241.49000000005</v>
      </c>
      <c r="S285" s="64"/>
      <c r="T285" s="64"/>
      <c r="U285" s="64">
        <f t="shared" si="36"/>
        <v>209.60822299370261</v>
      </c>
      <c r="V285" s="64">
        <f t="shared" si="36"/>
        <v>209.60822299370261</v>
      </c>
      <c r="W285" s="163" t="s">
        <v>495</v>
      </c>
      <c r="AC285" s="164">
        <f>+N285-'[12]Приложение № 4'!E258</f>
        <v>0</v>
      </c>
      <c r="AG285" s="166" t="s">
        <v>372</v>
      </c>
      <c r="AH285" s="4">
        <f t="shared" si="38"/>
        <v>141389.16279999999</v>
      </c>
      <c r="AI285" s="167"/>
      <c r="AJ285" s="167"/>
      <c r="AK285" s="167"/>
      <c r="AL285" s="167"/>
      <c r="AM285" s="167"/>
      <c r="AN285" s="167"/>
      <c r="AO285" s="167"/>
      <c r="AP285" s="167"/>
      <c r="AQ285" s="167"/>
      <c r="AR285" s="167"/>
      <c r="AS285" s="167"/>
      <c r="AT285" s="167"/>
      <c r="AU285" s="167"/>
      <c r="AV285" s="168">
        <v>141389.16279999999</v>
      </c>
      <c r="AW285" s="168"/>
      <c r="AZ285" s="156">
        <f>+N285-'Приложение №4'!E280</f>
        <v>0</v>
      </c>
    </row>
    <row r="286" spans="1:52" ht="15" x14ac:dyDescent="0.25">
      <c r="A286" s="122">
        <f t="shared" si="42"/>
        <v>269</v>
      </c>
      <c r="B286" s="62">
        <f t="shared" si="43"/>
        <v>269</v>
      </c>
      <c r="C286" s="62" t="s">
        <v>55</v>
      </c>
      <c r="D286" s="62" t="s">
        <v>373</v>
      </c>
      <c r="E286" s="123">
        <v>1981</v>
      </c>
      <c r="F286" s="123">
        <v>2008</v>
      </c>
      <c r="G286" s="123" t="s">
        <v>43</v>
      </c>
      <c r="H286" s="123">
        <v>4</v>
      </c>
      <c r="I286" s="123">
        <v>4</v>
      </c>
      <c r="J286" s="64">
        <v>3412.51</v>
      </c>
      <c r="K286" s="64">
        <v>1825.4</v>
      </c>
      <c r="L286" s="64">
        <v>877.11</v>
      </c>
      <c r="M286" s="124">
        <v>119</v>
      </c>
      <c r="N286" s="95">
        <f>+P286+Q286+R286+S286+T286</f>
        <v>695202.3</v>
      </c>
      <c r="O286" s="64"/>
      <c r="P286" s="64"/>
      <c r="Q286" s="64"/>
      <c r="R286" s="64">
        <f>+'[12]Приложение № 4'!E259</f>
        <v>695202.3</v>
      </c>
      <c r="S286" s="64"/>
      <c r="T286" s="64"/>
      <c r="U286" s="64">
        <f t="shared" si="36"/>
        <v>257.24319243962094</v>
      </c>
      <c r="V286" s="64">
        <f t="shared" si="36"/>
        <v>257.24319243962094</v>
      </c>
      <c r="W286" s="163" t="s">
        <v>495</v>
      </c>
      <c r="AC286" s="164">
        <f>+N286-'[12]Приложение № 4'!E259</f>
        <v>0</v>
      </c>
      <c r="AG286" s="166" t="s">
        <v>373</v>
      </c>
      <c r="AH286" s="4">
        <f t="shared" si="38"/>
        <v>154249.00120000003</v>
      </c>
      <c r="AI286" s="167"/>
      <c r="AJ286" s="167"/>
      <c r="AK286" s="167"/>
      <c r="AL286" s="167"/>
      <c r="AM286" s="167"/>
      <c r="AN286" s="167"/>
      <c r="AO286" s="167"/>
      <c r="AP286" s="167"/>
      <c r="AQ286" s="167"/>
      <c r="AR286" s="167"/>
      <c r="AS286" s="167"/>
      <c r="AT286" s="167"/>
      <c r="AU286" s="167"/>
      <c r="AV286" s="168">
        <v>154249.00120000003</v>
      </c>
      <c r="AW286" s="168"/>
      <c r="AZ286" s="156">
        <f>+N286-'Приложение №4'!E281</f>
        <v>0</v>
      </c>
    </row>
    <row r="287" spans="1:52" ht="15" x14ac:dyDescent="0.25">
      <c r="A287" s="122">
        <f t="shared" si="42"/>
        <v>270</v>
      </c>
      <c r="B287" s="62">
        <f t="shared" si="43"/>
        <v>270</v>
      </c>
      <c r="C287" s="62" t="s">
        <v>55</v>
      </c>
      <c r="D287" s="62" t="s">
        <v>204</v>
      </c>
      <c r="E287" s="123" t="s">
        <v>121</v>
      </c>
      <c r="F287" s="123"/>
      <c r="G287" s="123" t="s">
        <v>96</v>
      </c>
      <c r="H287" s="123" t="s">
        <v>101</v>
      </c>
      <c r="I287" s="123" t="s">
        <v>98</v>
      </c>
      <c r="J287" s="64">
        <v>906</v>
      </c>
      <c r="K287" s="64">
        <v>498.42</v>
      </c>
      <c r="L287" s="64">
        <v>363.42</v>
      </c>
      <c r="M287" s="124">
        <v>38</v>
      </c>
      <c r="N287" s="95">
        <f t="shared" si="39"/>
        <v>363410.07</v>
      </c>
      <c r="O287" s="64">
        <v>0</v>
      </c>
      <c r="P287" s="64"/>
      <c r="Q287" s="64"/>
      <c r="R287" s="64">
        <f>+'[12]Приложение № 4'!E260</f>
        <v>363410.07</v>
      </c>
      <c r="S287" s="64"/>
      <c r="T287" s="64"/>
      <c r="U287" s="64">
        <f t="shared" si="36"/>
        <v>421.6676761347814</v>
      </c>
      <c r="V287" s="64">
        <f t="shared" si="36"/>
        <v>421.6676761347814</v>
      </c>
      <c r="W287" s="163" t="s">
        <v>495</v>
      </c>
      <c r="X287" s="156" t="e">
        <f>+N287-#REF!</f>
        <v>#REF!</v>
      </c>
      <c r="Y287" s="153">
        <v>263708.53000000003</v>
      </c>
      <c r="Z287" s="153">
        <f t="shared" si="41"/>
        <v>133754.78160000002</v>
      </c>
      <c r="AB287" s="156" t="e">
        <f>+N287-#REF!</f>
        <v>#REF!</v>
      </c>
      <c r="AC287" s="164">
        <f>+N287-'[12]Приложение № 4'!E260</f>
        <v>0</v>
      </c>
      <c r="AE287" s="165" t="e">
        <f>+N287-#REF!</f>
        <v>#REF!</v>
      </c>
      <c r="AG287" s="3" t="s">
        <v>204</v>
      </c>
      <c r="AH287" s="4">
        <f t="shared" si="38"/>
        <v>365236.22400000005</v>
      </c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>
        <v>341236.22400000005</v>
      </c>
      <c r="AV287" s="4">
        <v>24000</v>
      </c>
      <c r="AW287" s="4"/>
      <c r="AZ287" s="156">
        <f>+N287-'Приложение №4'!E282</f>
        <v>0</v>
      </c>
    </row>
    <row r="288" spans="1:52" ht="15" x14ac:dyDescent="0.25">
      <c r="A288" s="122">
        <f t="shared" si="42"/>
        <v>271</v>
      </c>
      <c r="B288" s="62">
        <f t="shared" si="43"/>
        <v>271</v>
      </c>
      <c r="C288" s="62" t="s">
        <v>55</v>
      </c>
      <c r="D288" s="62" t="s">
        <v>205</v>
      </c>
      <c r="E288" s="123" t="s">
        <v>104</v>
      </c>
      <c r="F288" s="123"/>
      <c r="G288" s="123" t="s">
        <v>96</v>
      </c>
      <c r="H288" s="123" t="s">
        <v>101</v>
      </c>
      <c r="I288" s="123" t="s">
        <v>98</v>
      </c>
      <c r="J288" s="64">
        <v>955.59</v>
      </c>
      <c r="K288" s="64">
        <v>534.08000000000004</v>
      </c>
      <c r="L288" s="64">
        <v>354.94</v>
      </c>
      <c r="M288" s="124">
        <v>45</v>
      </c>
      <c r="N288" s="95">
        <f t="shared" si="39"/>
        <v>176664.86</v>
      </c>
      <c r="O288" s="64">
        <v>0</v>
      </c>
      <c r="P288" s="64"/>
      <c r="Q288" s="64"/>
      <c r="R288" s="64">
        <f>+'[12]Приложение № 4'!E261</f>
        <v>176664.86</v>
      </c>
      <c r="S288" s="64"/>
      <c r="T288" s="64"/>
      <c r="U288" s="64">
        <f t="shared" si="36"/>
        <v>198.7186564981665</v>
      </c>
      <c r="V288" s="64">
        <f t="shared" si="36"/>
        <v>198.7186564981665</v>
      </c>
      <c r="W288" s="163" t="s">
        <v>495</v>
      </c>
      <c r="X288" s="156" t="e">
        <f>+N288-#REF!</f>
        <v>#REF!</v>
      </c>
      <c r="Y288" s="153">
        <v>232208.16</v>
      </c>
      <c r="Z288" s="153">
        <f t="shared" si="41"/>
        <v>135797.83919999999</v>
      </c>
      <c r="AB288" s="156" t="e">
        <f>+N288-#REF!</f>
        <v>#REF!</v>
      </c>
      <c r="AC288" s="164">
        <f>+N288-'[12]Приложение № 4'!E261</f>
        <v>0</v>
      </c>
      <c r="AE288" s="165" t="e">
        <f>+N288-#REF!</f>
        <v>#REF!</v>
      </c>
      <c r="AG288" s="3" t="s">
        <v>205</v>
      </c>
      <c r="AH288" s="4">
        <f t="shared" si="38"/>
        <v>177486.25259048352</v>
      </c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>
        <v>153486.25259048352</v>
      </c>
      <c r="AV288" s="4">
        <v>24000</v>
      </c>
      <c r="AW288" s="4"/>
      <c r="AZ288" s="156">
        <f>+N288-'Приложение №4'!E283</f>
        <v>0</v>
      </c>
    </row>
    <row r="289" spans="1:52" ht="15" x14ac:dyDescent="0.25">
      <c r="A289" s="122">
        <f t="shared" si="42"/>
        <v>272</v>
      </c>
      <c r="B289" s="62">
        <f t="shared" si="43"/>
        <v>272</v>
      </c>
      <c r="C289" s="62" t="s">
        <v>55</v>
      </c>
      <c r="D289" s="62" t="s">
        <v>369</v>
      </c>
      <c r="E289" s="123" t="s">
        <v>95</v>
      </c>
      <c r="F289" s="123"/>
      <c r="G289" s="123" t="s">
        <v>96</v>
      </c>
      <c r="H289" s="123" t="s">
        <v>108</v>
      </c>
      <c r="I289" s="123" t="s">
        <v>101</v>
      </c>
      <c r="J289" s="64">
        <v>3210.94</v>
      </c>
      <c r="K289" s="64">
        <v>1645.15</v>
      </c>
      <c r="L289" s="64">
        <v>0</v>
      </c>
      <c r="M289" s="124">
        <v>89</v>
      </c>
      <c r="N289" s="95">
        <f t="shared" si="39"/>
        <v>302018.38</v>
      </c>
      <c r="O289" s="64">
        <v>0</v>
      </c>
      <c r="P289" s="64"/>
      <c r="Q289" s="64"/>
      <c r="R289" s="64">
        <f>+'[12]Приложение № 4'!E262</f>
        <v>302018.38</v>
      </c>
      <c r="S289" s="64"/>
      <c r="T289" s="64"/>
      <c r="U289" s="64">
        <f t="shared" si="36"/>
        <v>183.58105947785916</v>
      </c>
      <c r="V289" s="64">
        <f t="shared" si="36"/>
        <v>183.58105947785916</v>
      </c>
      <c r="W289" s="163" t="s">
        <v>495</v>
      </c>
      <c r="X289" s="156" t="e">
        <f>+N289-#REF!</f>
        <v>#REF!</v>
      </c>
      <c r="Y289" s="153">
        <v>1071084.69</v>
      </c>
      <c r="Z289" s="153">
        <f t="shared" si="41"/>
        <v>179650.38</v>
      </c>
      <c r="AB289" s="156" t="e">
        <f>+N289-#REF!</f>
        <v>#REF!</v>
      </c>
      <c r="AC289" s="164">
        <f>+N289-'[12]Приложение № 4'!E262</f>
        <v>0</v>
      </c>
      <c r="AE289" s="165" t="e">
        <f>+N289-#REF!</f>
        <v>#REF!</v>
      </c>
      <c r="AG289" s="3" t="s">
        <v>369</v>
      </c>
      <c r="AH289" s="4">
        <f t="shared" si="38"/>
        <v>303510.16380278399</v>
      </c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>
        <v>279510.16380278399</v>
      </c>
      <c r="AV289" s="4">
        <v>24000</v>
      </c>
      <c r="AW289" s="4"/>
      <c r="AZ289" s="156">
        <f>+N289-'Приложение №4'!E284</f>
        <v>0</v>
      </c>
    </row>
    <row r="290" spans="1:52" ht="15" x14ac:dyDescent="0.25">
      <c r="A290" s="122">
        <f t="shared" si="42"/>
        <v>273</v>
      </c>
      <c r="B290" s="62">
        <f t="shared" si="43"/>
        <v>273</v>
      </c>
      <c r="C290" s="62" t="s">
        <v>55</v>
      </c>
      <c r="D290" s="62" t="s">
        <v>370</v>
      </c>
      <c r="E290" s="123" t="s">
        <v>514</v>
      </c>
      <c r="F290" s="123"/>
      <c r="G290" s="123" t="s">
        <v>96</v>
      </c>
      <c r="H290" s="123" t="s">
        <v>98</v>
      </c>
      <c r="I290" s="123" t="s">
        <v>98</v>
      </c>
      <c r="J290" s="64">
        <v>1164.7</v>
      </c>
      <c r="K290" s="64">
        <v>429.9</v>
      </c>
      <c r="L290" s="64">
        <v>304.10000000000002</v>
      </c>
      <c r="M290" s="124">
        <v>37</v>
      </c>
      <c r="N290" s="95">
        <f t="shared" si="39"/>
        <v>143935.49000000002</v>
      </c>
      <c r="O290" s="64">
        <v>0</v>
      </c>
      <c r="P290" s="64"/>
      <c r="Q290" s="64"/>
      <c r="R290" s="64">
        <f>+'[12]Приложение № 4'!E263</f>
        <v>143935.49000000002</v>
      </c>
      <c r="S290" s="64"/>
      <c r="T290" s="64"/>
      <c r="U290" s="64">
        <f t="shared" ref="U290:V353" si="44">$N290/($K290+$L290)</f>
        <v>196.09739782016351</v>
      </c>
      <c r="V290" s="64">
        <f t="shared" si="44"/>
        <v>196.09739782016351</v>
      </c>
      <c r="W290" s="163" t="s">
        <v>495</v>
      </c>
      <c r="X290" s="156" t="e">
        <f>+N290-#REF!</f>
        <v>#REF!</v>
      </c>
      <c r="Y290" s="153">
        <v>315754.71000000002</v>
      </c>
      <c r="Z290" s="153">
        <f t="shared" si="41"/>
        <v>113324.02799999999</v>
      </c>
      <c r="AB290" s="156" t="e">
        <f>+N290-#REF!</f>
        <v>#REF!</v>
      </c>
      <c r="AC290" s="164">
        <f>+N290-'[12]Приложение № 4'!E263</f>
        <v>0</v>
      </c>
      <c r="AE290" s="165" t="e">
        <f>+N290-#REF!</f>
        <v>#REF!</v>
      </c>
      <c r="AG290" s="3" t="s">
        <v>370</v>
      </c>
      <c r="AH290" s="4">
        <f t="shared" si="38"/>
        <v>144579.04839705792</v>
      </c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>
        <v>102429.98292825793</v>
      </c>
      <c r="AV290" s="4">
        <v>42149.0654688</v>
      </c>
      <c r="AW290" s="4"/>
      <c r="AZ290" s="156">
        <f>+N290-'Приложение №4'!E285</f>
        <v>0</v>
      </c>
    </row>
    <row r="291" spans="1:52" ht="15" x14ac:dyDescent="0.25">
      <c r="A291" s="122">
        <f t="shared" si="42"/>
        <v>274</v>
      </c>
      <c r="B291" s="62">
        <f t="shared" si="43"/>
        <v>274</v>
      </c>
      <c r="C291" s="62" t="s">
        <v>55</v>
      </c>
      <c r="D291" s="62" t="s">
        <v>371</v>
      </c>
      <c r="E291" s="123" t="s">
        <v>125</v>
      </c>
      <c r="F291" s="123"/>
      <c r="G291" s="123" t="s">
        <v>96</v>
      </c>
      <c r="H291" s="123" t="s">
        <v>98</v>
      </c>
      <c r="I291" s="123" t="s">
        <v>98</v>
      </c>
      <c r="J291" s="64">
        <v>772.26</v>
      </c>
      <c r="K291" s="64">
        <v>472.46</v>
      </c>
      <c r="L291" s="64">
        <v>0</v>
      </c>
      <c r="M291" s="124">
        <v>34</v>
      </c>
      <c r="N291" s="95">
        <f t="shared" si="39"/>
        <v>130555.51999999999</v>
      </c>
      <c r="O291" s="64">
        <v>0</v>
      </c>
      <c r="P291" s="64"/>
      <c r="Q291" s="64"/>
      <c r="R291" s="64">
        <f>+'[12]Приложение № 4'!E264</f>
        <v>130555.51999999999</v>
      </c>
      <c r="S291" s="64"/>
      <c r="T291" s="64"/>
      <c r="U291" s="64">
        <f t="shared" si="44"/>
        <v>276.33137196799726</v>
      </c>
      <c r="V291" s="64">
        <f t="shared" si="44"/>
        <v>276.33137196799726</v>
      </c>
      <c r="W291" s="163" t="s">
        <v>495</v>
      </c>
      <c r="X291" s="156" t="e">
        <f>+N291-#REF!</f>
        <v>#REF!</v>
      </c>
      <c r="Y291" s="153">
        <v>197727.25</v>
      </c>
      <c r="Z291" s="153">
        <f t="shared" si="41"/>
        <v>51592.631999999998</v>
      </c>
      <c r="AB291" s="156" t="e">
        <f>+N291-#REF!</f>
        <v>#REF!</v>
      </c>
      <c r="AC291" s="164">
        <f>+N291-'[12]Приложение № 4'!E264</f>
        <v>0</v>
      </c>
      <c r="AE291" s="165" t="e">
        <f>+N291-#REF!</f>
        <v>#REF!</v>
      </c>
      <c r="AG291" s="3" t="s">
        <v>371</v>
      </c>
      <c r="AH291" s="4">
        <f t="shared" si="38"/>
        <v>131127.27161213954</v>
      </c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>
        <v>107127.27161213955</v>
      </c>
      <c r="AV291" s="4">
        <v>24000</v>
      </c>
      <c r="AW291" s="4"/>
      <c r="AZ291" s="156">
        <f>+N291-'Приложение №4'!E286</f>
        <v>0</v>
      </c>
    </row>
    <row r="292" spans="1:52" ht="15" x14ac:dyDescent="0.25">
      <c r="A292" s="122">
        <f t="shared" si="42"/>
        <v>275</v>
      </c>
      <c r="B292" s="62">
        <f t="shared" si="43"/>
        <v>275</v>
      </c>
      <c r="C292" s="62" t="s">
        <v>55</v>
      </c>
      <c r="D292" s="62" t="s">
        <v>374</v>
      </c>
      <c r="E292" s="123" t="s">
        <v>135</v>
      </c>
      <c r="F292" s="123"/>
      <c r="G292" s="123" t="s">
        <v>96</v>
      </c>
      <c r="H292" s="123" t="s">
        <v>108</v>
      </c>
      <c r="I292" s="123" t="s">
        <v>101</v>
      </c>
      <c r="J292" s="64">
        <v>3193.1</v>
      </c>
      <c r="K292" s="64">
        <v>2861.55</v>
      </c>
      <c r="L292" s="64">
        <v>0</v>
      </c>
      <c r="M292" s="124">
        <v>108</v>
      </c>
      <c r="N292" s="95">
        <f t="shared" si="39"/>
        <v>303189.93</v>
      </c>
      <c r="O292" s="64">
        <v>0</v>
      </c>
      <c r="P292" s="64"/>
      <c r="Q292" s="64"/>
      <c r="R292" s="64">
        <f>+'[12]Приложение № 4'!E265</f>
        <v>303189.93</v>
      </c>
      <c r="S292" s="64"/>
      <c r="T292" s="64"/>
      <c r="U292" s="64">
        <f t="shared" si="44"/>
        <v>105.95304293127849</v>
      </c>
      <c r="V292" s="64">
        <f t="shared" si="44"/>
        <v>105.95304293127849</v>
      </c>
      <c r="W292" s="163" t="s">
        <v>495</v>
      </c>
      <c r="X292" s="156" t="e">
        <f>+N292-#REF!</f>
        <v>#REF!</v>
      </c>
      <c r="Y292" s="153">
        <v>954599.25</v>
      </c>
      <c r="Z292" s="153">
        <f t="shared" si="41"/>
        <v>312481.26</v>
      </c>
      <c r="AB292" s="156" t="e">
        <f>+N292-#REF!</f>
        <v>#REF!</v>
      </c>
      <c r="AC292" s="164">
        <f>+N292-'[12]Приложение № 4'!E265</f>
        <v>0</v>
      </c>
      <c r="AE292" s="165" t="e">
        <f>+N292-#REF!</f>
        <v>#REF!</v>
      </c>
      <c r="AG292" s="3" t="s">
        <v>374</v>
      </c>
      <c r="AH292" s="4">
        <f t="shared" si="38"/>
        <v>304687.99318682111</v>
      </c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>
        <v>280687.99318682111</v>
      </c>
      <c r="AV292" s="4">
        <v>24000</v>
      </c>
      <c r="AW292" s="4"/>
      <c r="AZ292" s="156">
        <f>+N292-'Приложение №4'!E287</f>
        <v>0</v>
      </c>
    </row>
    <row r="293" spans="1:52" ht="15" x14ac:dyDescent="0.25">
      <c r="A293" s="122">
        <f t="shared" si="42"/>
        <v>276</v>
      </c>
      <c r="B293" s="62">
        <f t="shared" si="43"/>
        <v>276</v>
      </c>
      <c r="C293" s="62" t="s">
        <v>55</v>
      </c>
      <c r="D293" s="62" t="s">
        <v>375</v>
      </c>
      <c r="E293" s="123" t="s">
        <v>135</v>
      </c>
      <c r="F293" s="123"/>
      <c r="G293" s="123" t="s">
        <v>96</v>
      </c>
      <c r="H293" s="123" t="s">
        <v>101</v>
      </c>
      <c r="I293" s="123" t="s">
        <v>102</v>
      </c>
      <c r="J293" s="64">
        <v>1369.5</v>
      </c>
      <c r="K293" s="64">
        <v>917.4</v>
      </c>
      <c r="L293" s="64">
        <v>0</v>
      </c>
      <c r="M293" s="124">
        <v>33</v>
      </c>
      <c r="N293" s="95">
        <f t="shared" si="39"/>
        <v>171877.99</v>
      </c>
      <c r="O293" s="64">
        <v>0</v>
      </c>
      <c r="P293" s="64"/>
      <c r="Q293" s="64"/>
      <c r="R293" s="64">
        <f>+'[12]Приложение № 4'!E266</f>
        <v>171877.99</v>
      </c>
      <c r="S293" s="64"/>
      <c r="T293" s="64"/>
      <c r="U293" s="64">
        <f t="shared" si="44"/>
        <v>187.35337911488989</v>
      </c>
      <c r="V293" s="64">
        <f t="shared" si="44"/>
        <v>187.35337911488989</v>
      </c>
      <c r="W293" s="163" t="s">
        <v>495</v>
      </c>
      <c r="X293" s="156" t="e">
        <f>+N293-#REF!</f>
        <v>#REF!</v>
      </c>
      <c r="Y293" s="153">
        <v>339177.35</v>
      </c>
      <c r="Z293" s="153">
        <f t="shared" si="41"/>
        <v>100180.08</v>
      </c>
      <c r="AB293" s="156" t="e">
        <f>+N293-#REF!</f>
        <v>#REF!</v>
      </c>
      <c r="AC293" s="164">
        <f>+N293-'[12]Приложение № 4'!E266</f>
        <v>0</v>
      </c>
      <c r="AE293" s="165" t="e">
        <f>+N293-#REF!</f>
        <v>#REF!</v>
      </c>
      <c r="AG293" s="3" t="s">
        <v>375</v>
      </c>
      <c r="AH293" s="4">
        <f t="shared" si="38"/>
        <v>172671.46158963229</v>
      </c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>
        <v>148671.46158963229</v>
      </c>
      <c r="AV293" s="4">
        <v>24000</v>
      </c>
      <c r="AW293" s="4"/>
      <c r="AZ293" s="156">
        <f>+N293-'Приложение №4'!E288</f>
        <v>0</v>
      </c>
    </row>
    <row r="294" spans="1:52" ht="15" x14ac:dyDescent="0.25">
      <c r="A294" s="122">
        <f t="shared" si="42"/>
        <v>277</v>
      </c>
      <c r="B294" s="62">
        <f t="shared" si="43"/>
        <v>277</v>
      </c>
      <c r="C294" s="62" t="s">
        <v>55</v>
      </c>
      <c r="D294" s="62" t="s">
        <v>207</v>
      </c>
      <c r="E294" s="123" t="s">
        <v>504</v>
      </c>
      <c r="F294" s="123"/>
      <c r="G294" s="123" t="s">
        <v>96</v>
      </c>
      <c r="H294" s="123" t="s">
        <v>98</v>
      </c>
      <c r="I294" s="123" t="s">
        <v>98</v>
      </c>
      <c r="J294" s="64">
        <v>1001.33</v>
      </c>
      <c r="K294" s="64">
        <v>636.99</v>
      </c>
      <c r="L294" s="64">
        <v>0</v>
      </c>
      <c r="M294" s="124">
        <v>24</v>
      </c>
      <c r="N294" s="95">
        <f t="shared" si="39"/>
        <v>272770.56</v>
      </c>
      <c r="O294" s="64">
        <v>0</v>
      </c>
      <c r="P294" s="64"/>
      <c r="Q294" s="64"/>
      <c r="R294" s="64">
        <f>+'[12]Приложение № 4'!E267</f>
        <v>272770.56</v>
      </c>
      <c r="S294" s="64"/>
      <c r="T294" s="64"/>
      <c r="U294" s="64">
        <f t="shared" si="44"/>
        <v>428.21796260537843</v>
      </c>
      <c r="V294" s="64">
        <f t="shared" si="44"/>
        <v>428.21796260537843</v>
      </c>
      <c r="W294" s="163" t="s">
        <v>495</v>
      </c>
      <c r="X294" s="156" t="e">
        <f>+N294-#REF!</f>
        <v>#REF!</v>
      </c>
      <c r="Y294" s="153">
        <v>184144.01</v>
      </c>
      <c r="Z294" s="153">
        <f t="shared" si="41"/>
        <v>69559.30799999999</v>
      </c>
      <c r="AB294" s="156" t="e">
        <f>+N294-#REF!</f>
        <v>#REF!</v>
      </c>
      <c r="AC294" s="164">
        <f>+N294-'[12]Приложение № 4'!E267</f>
        <v>0</v>
      </c>
      <c r="AE294" s="165" t="e">
        <f>+N294-#REF!</f>
        <v>#REF!</v>
      </c>
      <c r="AG294" s="3" t="s">
        <v>207</v>
      </c>
      <c r="AH294" s="4">
        <f t="shared" si="38"/>
        <v>131594.80981473409</v>
      </c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>
        <v>89946.032950414083</v>
      </c>
      <c r="AV294" s="4">
        <v>41648.776864319996</v>
      </c>
      <c r="AW294" s="4"/>
      <c r="AZ294" s="156">
        <f>+N294-'Приложение №4'!E289</f>
        <v>0</v>
      </c>
    </row>
    <row r="295" spans="1:52" ht="15" x14ac:dyDescent="0.25">
      <c r="A295" s="122">
        <f t="shared" si="42"/>
        <v>278</v>
      </c>
      <c r="B295" s="62">
        <f t="shared" si="43"/>
        <v>278</v>
      </c>
      <c r="C295" s="62" t="s">
        <v>55</v>
      </c>
      <c r="D295" s="62" t="s">
        <v>376</v>
      </c>
      <c r="E295" s="123" t="s">
        <v>500</v>
      </c>
      <c r="F295" s="123"/>
      <c r="G295" s="123" t="s">
        <v>96</v>
      </c>
      <c r="H295" s="123" t="s">
        <v>101</v>
      </c>
      <c r="I295" s="123" t="s">
        <v>105</v>
      </c>
      <c r="J295" s="64">
        <v>2714.3</v>
      </c>
      <c r="K295" s="64">
        <v>1853.65</v>
      </c>
      <c r="L295" s="64">
        <v>0</v>
      </c>
      <c r="M295" s="124">
        <v>91</v>
      </c>
      <c r="N295" s="95">
        <f t="shared" si="39"/>
        <v>403501.25</v>
      </c>
      <c r="O295" s="64">
        <v>0</v>
      </c>
      <c r="P295" s="64"/>
      <c r="Q295" s="64"/>
      <c r="R295" s="64">
        <f>+'[12]Приложение № 4'!E268</f>
        <v>403501.25</v>
      </c>
      <c r="S295" s="64"/>
      <c r="T295" s="64"/>
      <c r="U295" s="64">
        <f t="shared" si="44"/>
        <v>217.67930839155179</v>
      </c>
      <c r="V295" s="64">
        <f t="shared" si="44"/>
        <v>217.67930839155179</v>
      </c>
      <c r="W295" s="163" t="s">
        <v>495</v>
      </c>
      <c r="X295" s="156" t="e">
        <f>+N295-#REF!</f>
        <v>#REF!</v>
      </c>
      <c r="Y295" s="153">
        <v>658640.77</v>
      </c>
      <c r="Z295" s="153">
        <f t="shared" si="41"/>
        <v>202418.58000000002</v>
      </c>
      <c r="AB295" s="156" t="e">
        <f>+N295-#REF!</f>
        <v>#REF!</v>
      </c>
      <c r="AC295" s="164">
        <f>+N295-'[12]Приложение № 4'!E268</f>
        <v>0</v>
      </c>
      <c r="AE295" s="165" t="e">
        <f>+N295-#REF!</f>
        <v>#REF!</v>
      </c>
      <c r="AG295" s="3" t="s">
        <v>376</v>
      </c>
      <c r="AH295" s="4">
        <f t="shared" si="38"/>
        <v>405537.56949666754</v>
      </c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>
        <v>360952.04990146752</v>
      </c>
      <c r="AV295" s="4">
        <v>44585.519595199999</v>
      </c>
      <c r="AW295" s="4"/>
      <c r="AZ295" s="156">
        <f>+N295-'Приложение №4'!E290</f>
        <v>0</v>
      </c>
    </row>
    <row r="296" spans="1:52" ht="15" x14ac:dyDescent="0.25">
      <c r="A296" s="122">
        <f t="shared" si="42"/>
        <v>279</v>
      </c>
      <c r="B296" s="62">
        <f t="shared" si="43"/>
        <v>279</v>
      </c>
      <c r="C296" s="62" t="s">
        <v>55</v>
      </c>
      <c r="D296" s="62" t="s">
        <v>522</v>
      </c>
      <c r="E296" s="123" t="s">
        <v>129</v>
      </c>
      <c r="F296" s="123"/>
      <c r="G296" s="123" t="s">
        <v>96</v>
      </c>
      <c r="H296" s="123" t="s">
        <v>108</v>
      </c>
      <c r="I296" s="123" t="s">
        <v>98</v>
      </c>
      <c r="J296" s="64">
        <v>2030.46</v>
      </c>
      <c r="K296" s="64">
        <v>1617</v>
      </c>
      <c r="L296" s="64">
        <v>0</v>
      </c>
      <c r="M296" s="124">
        <v>59</v>
      </c>
      <c r="N296" s="95">
        <f t="shared" si="39"/>
        <v>261102.09</v>
      </c>
      <c r="O296" s="64">
        <v>0</v>
      </c>
      <c r="P296" s="64"/>
      <c r="Q296" s="64"/>
      <c r="R296" s="64">
        <f>+'[12]Приложение № 4'!E269</f>
        <v>261102.09</v>
      </c>
      <c r="S296" s="64"/>
      <c r="T296" s="64"/>
      <c r="U296" s="64">
        <f t="shared" si="44"/>
        <v>161.47315398886826</v>
      </c>
      <c r="V296" s="64">
        <f t="shared" si="44"/>
        <v>161.47315398886826</v>
      </c>
      <c r="W296" s="163" t="s">
        <v>495</v>
      </c>
      <c r="X296" s="156" t="e">
        <f>+N296-#REF!</f>
        <v>#REF!</v>
      </c>
      <c r="Y296" s="153">
        <v>571253.1</v>
      </c>
      <c r="Z296" s="153">
        <f t="shared" si="41"/>
        <v>176576.4</v>
      </c>
      <c r="AB296" s="156" t="e">
        <f>+N296-#REF!</f>
        <v>#REF!</v>
      </c>
      <c r="AC296" s="164">
        <f>+N296-'[12]Приложение № 4'!E269</f>
        <v>0</v>
      </c>
      <c r="AE296" s="165" t="e">
        <f>+N296-#REF!</f>
        <v>#REF!</v>
      </c>
      <c r="AG296" s="3" t="s">
        <v>377</v>
      </c>
      <c r="AH296" s="4">
        <f t="shared" si="38"/>
        <v>262374.31758773711</v>
      </c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>
        <v>238374.31758773711</v>
      </c>
      <c r="AV296" s="4">
        <v>24000</v>
      </c>
      <c r="AW296" s="4"/>
      <c r="AZ296" s="156">
        <f>+N296-'Приложение №4'!E291</f>
        <v>0</v>
      </c>
    </row>
    <row r="297" spans="1:52" ht="15" x14ac:dyDescent="0.25">
      <c r="A297" s="122">
        <f t="shared" si="42"/>
        <v>280</v>
      </c>
      <c r="B297" s="62">
        <f t="shared" si="43"/>
        <v>280</v>
      </c>
      <c r="C297" s="62" t="s">
        <v>55</v>
      </c>
      <c r="D297" s="62" t="s">
        <v>206</v>
      </c>
      <c r="E297" s="123" t="s">
        <v>104</v>
      </c>
      <c r="F297" s="123"/>
      <c r="G297" s="123" t="s">
        <v>96</v>
      </c>
      <c r="H297" s="123" t="s">
        <v>108</v>
      </c>
      <c r="I297" s="123" t="s">
        <v>101</v>
      </c>
      <c r="J297" s="64">
        <v>3318.08</v>
      </c>
      <c r="K297" s="64">
        <v>2710.96</v>
      </c>
      <c r="L297" s="64">
        <v>0</v>
      </c>
      <c r="M297" s="124">
        <v>33</v>
      </c>
      <c r="N297" s="95">
        <f t="shared" si="39"/>
        <v>757264.42999999993</v>
      </c>
      <c r="O297" s="64">
        <v>0</v>
      </c>
      <c r="P297" s="64"/>
      <c r="Q297" s="64"/>
      <c r="R297" s="64">
        <f>+'[12]Приложение № 4'!E270</f>
        <v>757264.42999999993</v>
      </c>
      <c r="S297" s="64"/>
      <c r="T297" s="64"/>
      <c r="U297" s="64">
        <f t="shared" si="44"/>
        <v>279.33441659043291</v>
      </c>
      <c r="V297" s="64">
        <f t="shared" si="44"/>
        <v>279.33441659043291</v>
      </c>
      <c r="W297" s="163" t="s">
        <v>495</v>
      </c>
      <c r="X297" s="156" t="e">
        <f>+N297-#REF!</f>
        <v>#REF!</v>
      </c>
      <c r="Y297" s="153">
        <v>987082.76</v>
      </c>
      <c r="Z297" s="153">
        <f t="shared" si="41"/>
        <v>296036.83199999999</v>
      </c>
      <c r="AB297" s="156" t="e">
        <f>+N297-#REF!</f>
        <v>#REF!</v>
      </c>
      <c r="AC297" s="164">
        <f>+N297-'[12]Приложение № 4'!E270</f>
        <v>0</v>
      </c>
      <c r="AE297" s="165" t="e">
        <f>+N297-#REF!</f>
        <v>#REF!</v>
      </c>
      <c r="AG297" s="3" t="s">
        <v>206</v>
      </c>
      <c r="AH297" s="4">
        <f t="shared" si="38"/>
        <v>761209.69067520008</v>
      </c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>
        <v>737209.69067520008</v>
      </c>
      <c r="AV297" s="4">
        <v>24000</v>
      </c>
      <c r="AW297" s="4"/>
      <c r="AZ297" s="156">
        <f>+N297-'Приложение №4'!E292</f>
        <v>0</v>
      </c>
    </row>
    <row r="298" spans="1:52" ht="15" x14ac:dyDescent="0.25">
      <c r="A298" s="122">
        <f t="shared" si="42"/>
        <v>281</v>
      </c>
      <c r="B298" s="62">
        <f t="shared" si="43"/>
        <v>281</v>
      </c>
      <c r="C298" s="62" t="s">
        <v>55</v>
      </c>
      <c r="D298" s="62" t="s">
        <v>208</v>
      </c>
      <c r="E298" s="123" t="s">
        <v>504</v>
      </c>
      <c r="F298" s="123"/>
      <c r="G298" s="123" t="s">
        <v>96</v>
      </c>
      <c r="H298" s="123" t="s">
        <v>98</v>
      </c>
      <c r="I298" s="123" t="s">
        <v>98</v>
      </c>
      <c r="J298" s="64">
        <v>1037.76</v>
      </c>
      <c r="K298" s="64">
        <v>620.04</v>
      </c>
      <c r="L298" s="64">
        <v>0</v>
      </c>
      <c r="M298" s="124">
        <v>19</v>
      </c>
      <c r="N298" s="95">
        <f t="shared" si="39"/>
        <v>247238.84</v>
      </c>
      <c r="O298" s="64">
        <v>0</v>
      </c>
      <c r="P298" s="64"/>
      <c r="Q298" s="64"/>
      <c r="R298" s="64">
        <f>+'[12]Приложение № 4'!E271</f>
        <v>247238.84</v>
      </c>
      <c r="S298" s="64"/>
      <c r="T298" s="64"/>
      <c r="U298" s="64">
        <f t="shared" si="44"/>
        <v>398.74659699374234</v>
      </c>
      <c r="V298" s="64">
        <f t="shared" si="44"/>
        <v>398.74659699374234</v>
      </c>
      <c r="W298" s="163" t="s">
        <v>495</v>
      </c>
      <c r="X298" s="156" t="e">
        <f>+N298-#REF!</f>
        <v>#REF!</v>
      </c>
      <c r="Y298" s="153">
        <v>212505.85</v>
      </c>
      <c r="Z298" s="153">
        <f t="shared" si="41"/>
        <v>67708.367999999988</v>
      </c>
      <c r="AB298" s="156" t="e">
        <f>+N298-#REF!</f>
        <v>#REF!</v>
      </c>
      <c r="AC298" s="164">
        <f>+N298-'[12]Приложение № 4'!E271</f>
        <v>0</v>
      </c>
      <c r="AE298" s="165" t="e">
        <f>+N298-#REF!</f>
        <v>#REF!</v>
      </c>
      <c r="AG298" s="3" t="s">
        <v>208</v>
      </c>
      <c r="AH298" s="4">
        <f t="shared" si="38"/>
        <v>248439.95228755201</v>
      </c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>
        <v>206679.61568851201</v>
      </c>
      <c r="AV298" s="4">
        <v>41760.336599040005</v>
      </c>
      <c r="AW298" s="4"/>
      <c r="AZ298" s="156">
        <f>+N298-'Приложение №4'!E293</f>
        <v>0</v>
      </c>
    </row>
    <row r="299" spans="1:52" ht="15" x14ac:dyDescent="0.25">
      <c r="A299" s="122">
        <f t="shared" si="42"/>
        <v>282</v>
      </c>
      <c r="B299" s="62">
        <f t="shared" si="43"/>
        <v>282</v>
      </c>
      <c r="C299" s="62" t="s">
        <v>55</v>
      </c>
      <c r="D299" s="62" t="s">
        <v>209</v>
      </c>
      <c r="E299" s="123" t="s">
        <v>505</v>
      </c>
      <c r="F299" s="123"/>
      <c r="G299" s="123" t="s">
        <v>96</v>
      </c>
      <c r="H299" s="123" t="s">
        <v>98</v>
      </c>
      <c r="I299" s="123" t="s">
        <v>98</v>
      </c>
      <c r="J299" s="64">
        <v>1023.9</v>
      </c>
      <c r="K299" s="64">
        <v>614.54</v>
      </c>
      <c r="L299" s="64">
        <v>0</v>
      </c>
      <c r="M299" s="124">
        <v>19</v>
      </c>
      <c r="N299" s="95">
        <f t="shared" si="39"/>
        <v>142668.31</v>
      </c>
      <c r="O299" s="64">
        <v>0</v>
      </c>
      <c r="P299" s="64"/>
      <c r="Q299" s="64"/>
      <c r="R299" s="64">
        <f>+'[12]Приложение № 4'!E272</f>
        <v>142668.31</v>
      </c>
      <c r="S299" s="64"/>
      <c r="T299" s="64"/>
      <c r="U299" s="64">
        <f t="shared" si="44"/>
        <v>232.15463598789339</v>
      </c>
      <c r="V299" s="64">
        <f t="shared" si="44"/>
        <v>232.15463598789339</v>
      </c>
      <c r="W299" s="163" t="s">
        <v>495</v>
      </c>
      <c r="X299" s="156" t="e">
        <f>+N299-#REF!</f>
        <v>#REF!</v>
      </c>
      <c r="Y299" s="153">
        <v>225334.78</v>
      </c>
      <c r="Z299" s="153">
        <f t="shared" si="41"/>
        <v>67107.767999999996</v>
      </c>
      <c r="AB299" s="156" t="e">
        <f>+N299-#REF!</f>
        <v>#REF!</v>
      </c>
      <c r="AC299" s="164">
        <f>+N299-'[12]Приложение № 4'!E272</f>
        <v>0</v>
      </c>
      <c r="AE299" s="165" t="e">
        <f>+N299-#REF!</f>
        <v>#REF!</v>
      </c>
      <c r="AG299" s="3" t="s">
        <v>209</v>
      </c>
      <c r="AH299" s="4">
        <f t="shared" ref="AH299:AH321" si="45">SUM(AI299:AW299)</f>
        <v>143306.79703497601</v>
      </c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>
        <v>119306.79703497601</v>
      </c>
      <c r="AV299" s="4">
        <v>24000</v>
      </c>
      <c r="AW299" s="4"/>
      <c r="AZ299" s="156">
        <f>+N299-'Приложение №4'!E294</f>
        <v>0</v>
      </c>
    </row>
    <row r="300" spans="1:52" ht="15" x14ac:dyDescent="0.25">
      <c r="A300" s="122">
        <f t="shared" si="42"/>
        <v>283</v>
      </c>
      <c r="B300" s="62">
        <f t="shared" si="43"/>
        <v>283</v>
      </c>
      <c r="C300" s="169" t="s">
        <v>55</v>
      </c>
      <c r="D300" s="62" t="s">
        <v>210</v>
      </c>
      <c r="E300" s="171" t="s">
        <v>106</v>
      </c>
      <c r="F300" s="123"/>
      <c r="G300" s="123" t="s">
        <v>96</v>
      </c>
      <c r="H300" s="123" t="s">
        <v>108</v>
      </c>
      <c r="I300" s="123" t="s">
        <v>98</v>
      </c>
      <c r="J300" s="64">
        <v>1792.32</v>
      </c>
      <c r="K300" s="64">
        <v>1578.58</v>
      </c>
      <c r="L300" s="64">
        <v>0</v>
      </c>
      <c r="M300" s="124">
        <v>66</v>
      </c>
      <c r="N300" s="95">
        <f t="shared" si="39"/>
        <v>644876.55000000005</v>
      </c>
      <c r="O300" s="64">
        <v>0</v>
      </c>
      <c r="P300" s="64"/>
      <c r="Q300" s="64"/>
      <c r="R300" s="64">
        <f>+'[12]Приложение № 4'!E273</f>
        <v>644876.55000000005</v>
      </c>
      <c r="S300" s="64"/>
      <c r="T300" s="64"/>
      <c r="U300" s="64">
        <f t="shared" si="44"/>
        <v>408.51686325685114</v>
      </c>
      <c r="V300" s="64">
        <f t="shared" si="44"/>
        <v>408.51686325685114</v>
      </c>
      <c r="W300" s="163" t="s">
        <v>495</v>
      </c>
      <c r="X300" s="156" t="e">
        <f>+N300-#REF!</f>
        <v>#REF!</v>
      </c>
      <c r="Y300" s="153">
        <v>780154.74</v>
      </c>
      <c r="Z300" s="153">
        <f>+(K300*9.1+L300*18.19)*12</f>
        <v>172380.93599999999</v>
      </c>
      <c r="AB300" s="156" t="e">
        <f>+N300-#REF!</f>
        <v>#REF!</v>
      </c>
      <c r="AC300" s="164">
        <f>+N300-'[12]Приложение № 4'!E273</f>
        <v>0</v>
      </c>
      <c r="AE300" s="165" t="e">
        <f>+N300-#REF!</f>
        <v>#REF!</v>
      </c>
      <c r="AG300" s="3" t="s">
        <v>210</v>
      </c>
      <c r="AH300" s="4">
        <f t="shared" si="45"/>
        <v>648217.12182028801</v>
      </c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>
        <v>624217.12182028801</v>
      </c>
      <c r="AV300" s="4">
        <v>24000</v>
      </c>
      <c r="AW300" s="4"/>
      <c r="AZ300" s="156">
        <f>+N300-'Приложение №4'!E295</f>
        <v>0</v>
      </c>
    </row>
    <row r="301" spans="1:52" ht="15" x14ac:dyDescent="0.25">
      <c r="A301" s="122">
        <f t="shared" si="42"/>
        <v>284</v>
      </c>
      <c r="B301" s="62">
        <f t="shared" si="43"/>
        <v>284</v>
      </c>
      <c r="C301" s="169" t="s">
        <v>475</v>
      </c>
      <c r="D301" s="62" t="s">
        <v>560</v>
      </c>
      <c r="E301" s="171">
        <v>1971</v>
      </c>
      <c r="F301" s="123">
        <v>1971</v>
      </c>
      <c r="G301" s="123" t="s">
        <v>48</v>
      </c>
      <c r="H301" s="123">
        <v>2</v>
      </c>
      <c r="I301" s="123">
        <v>1</v>
      </c>
      <c r="J301" s="64">
        <v>614.79999999999995</v>
      </c>
      <c r="K301" s="64">
        <v>371.4</v>
      </c>
      <c r="L301" s="64">
        <v>223</v>
      </c>
      <c r="M301" s="124">
        <v>25</v>
      </c>
      <c r="N301" s="95">
        <f>+P301+Q301+R301+S301+T301</f>
        <v>165696.95999999999</v>
      </c>
      <c r="O301" s="64"/>
      <c r="P301" s="64"/>
      <c r="Q301" s="64"/>
      <c r="R301" s="64">
        <f>+'[12]Приложение № 4'!E274</f>
        <v>165696.95999999999</v>
      </c>
      <c r="S301" s="64"/>
      <c r="T301" s="64"/>
      <c r="U301" s="64">
        <f t="shared" si="44"/>
        <v>278.76339165545085</v>
      </c>
      <c r="V301" s="64">
        <f t="shared" si="44"/>
        <v>278.76339165545085</v>
      </c>
      <c r="W301" s="163" t="s">
        <v>495</v>
      </c>
      <c r="AC301" s="164">
        <f>+N301-'[12]Приложение № 4'!E274</f>
        <v>0</v>
      </c>
      <c r="AG301" s="172" t="s">
        <v>561</v>
      </c>
      <c r="AH301" s="4">
        <f t="shared" si="45"/>
        <v>269584.17599999998</v>
      </c>
      <c r="AI301" s="167"/>
      <c r="AJ301" s="167"/>
      <c r="AK301" s="167"/>
      <c r="AL301" s="167"/>
      <c r="AM301" s="167"/>
      <c r="AN301" s="167"/>
      <c r="AO301" s="167"/>
      <c r="AP301" s="167"/>
      <c r="AQ301" s="167"/>
      <c r="AR301" s="167"/>
      <c r="AS301" s="167"/>
      <c r="AT301" s="167"/>
      <c r="AU301" s="167">
        <v>242625.75839999996</v>
      </c>
      <c r="AV301" s="168">
        <v>26958.417599999997</v>
      </c>
      <c r="AW301" s="168"/>
      <c r="AZ301" s="156">
        <f>+N301-'Приложение №4'!E296</f>
        <v>0</v>
      </c>
    </row>
    <row r="302" spans="1:52" ht="15" x14ac:dyDescent="0.25">
      <c r="A302" s="122">
        <f t="shared" si="42"/>
        <v>285</v>
      </c>
      <c r="B302" s="62">
        <f t="shared" si="43"/>
        <v>285</v>
      </c>
      <c r="C302" s="169" t="s">
        <v>65</v>
      </c>
      <c r="D302" s="62" t="s">
        <v>211</v>
      </c>
      <c r="E302" s="171" t="s">
        <v>120</v>
      </c>
      <c r="F302" s="123"/>
      <c r="G302" s="123" t="s">
        <v>96</v>
      </c>
      <c r="H302" s="123" t="s">
        <v>108</v>
      </c>
      <c r="I302" s="123" t="s">
        <v>101</v>
      </c>
      <c r="J302" s="64">
        <v>2457.4</v>
      </c>
      <c r="K302" s="64">
        <v>2028.5</v>
      </c>
      <c r="L302" s="64">
        <v>0</v>
      </c>
      <c r="M302" s="124">
        <v>79</v>
      </c>
      <c r="N302" s="95">
        <f t="shared" si="39"/>
        <v>268177.34059008001</v>
      </c>
      <c r="O302" s="64">
        <v>0</v>
      </c>
      <c r="P302" s="64"/>
      <c r="Q302" s="64"/>
      <c r="R302" s="64">
        <f>+'[12]Приложение № 4'!E275</f>
        <v>268177.34059008001</v>
      </c>
      <c r="S302" s="64"/>
      <c r="T302" s="64"/>
      <c r="U302" s="64">
        <f t="shared" si="44"/>
        <v>132.20475257090462</v>
      </c>
      <c r="V302" s="64">
        <f t="shared" si="44"/>
        <v>132.20475257090462</v>
      </c>
      <c r="W302" s="163" t="s">
        <v>495</v>
      </c>
      <c r="X302" s="156" t="e">
        <f>+N302-#REF!</f>
        <v>#REF!</v>
      </c>
      <c r="Y302" s="153">
        <v>557157.98</v>
      </c>
      <c r="Z302" s="153">
        <f t="shared" ref="Z302:Z319" si="46">+(K302*9.1+L302*18.19)*12</f>
        <v>221512.19999999998</v>
      </c>
      <c r="AB302" s="156" t="e">
        <f>+N302-#REF!</f>
        <v>#REF!</v>
      </c>
      <c r="AC302" s="164">
        <f>+N302-'[12]Приложение № 4'!E275</f>
        <v>0</v>
      </c>
      <c r="AE302" s="165" t="e">
        <f>+N302-#REF!</f>
        <v>#REF!</v>
      </c>
      <c r="AG302" s="3" t="s">
        <v>211</v>
      </c>
      <c r="AH302" s="4">
        <f t="shared" si="45"/>
        <v>268177.34059008001</v>
      </c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>
        <v>244177.34059008001</v>
      </c>
      <c r="AV302" s="4">
        <v>24000</v>
      </c>
      <c r="AW302" s="4"/>
      <c r="AZ302" s="156">
        <f>+N302-'Приложение №4'!E297</f>
        <v>0</v>
      </c>
    </row>
    <row r="303" spans="1:52" ht="15" x14ac:dyDescent="0.25">
      <c r="A303" s="122">
        <f t="shared" si="42"/>
        <v>286</v>
      </c>
      <c r="B303" s="62">
        <f t="shared" si="43"/>
        <v>286</v>
      </c>
      <c r="C303" s="62" t="s">
        <v>65</v>
      </c>
      <c r="D303" s="62" t="s">
        <v>212</v>
      </c>
      <c r="E303" s="123" t="s">
        <v>133</v>
      </c>
      <c r="F303" s="123"/>
      <c r="G303" s="123" t="s">
        <v>96</v>
      </c>
      <c r="H303" s="123" t="s">
        <v>108</v>
      </c>
      <c r="I303" s="123" t="s">
        <v>105</v>
      </c>
      <c r="J303" s="64">
        <v>3352.7</v>
      </c>
      <c r="K303" s="64">
        <v>2447.1</v>
      </c>
      <c r="L303" s="64">
        <v>0</v>
      </c>
      <c r="M303" s="124">
        <v>88</v>
      </c>
      <c r="N303" s="95">
        <f t="shared" si="39"/>
        <v>226580.60883839999</v>
      </c>
      <c r="O303" s="64">
        <v>0</v>
      </c>
      <c r="P303" s="64"/>
      <c r="Q303" s="64"/>
      <c r="R303" s="64">
        <f>+'[12]Приложение № 4'!E276</f>
        <v>226580.60883839999</v>
      </c>
      <c r="S303" s="64"/>
      <c r="T303" s="64"/>
      <c r="U303" s="64">
        <f t="shared" si="44"/>
        <v>92.591479235993617</v>
      </c>
      <c r="V303" s="64">
        <f t="shared" si="44"/>
        <v>92.591479235993617</v>
      </c>
      <c r="W303" s="163" t="s">
        <v>495</v>
      </c>
      <c r="X303" s="156" t="e">
        <f>+N303-#REF!</f>
        <v>#REF!</v>
      </c>
      <c r="Y303" s="153">
        <v>987744.25</v>
      </c>
      <c r="Z303" s="153">
        <f t="shared" si="46"/>
        <v>267223.31999999995</v>
      </c>
      <c r="AB303" s="156" t="e">
        <f>+N303-#REF!</f>
        <v>#REF!</v>
      </c>
      <c r="AC303" s="164">
        <f>+N303-'[12]Приложение № 4'!E276</f>
        <v>0</v>
      </c>
      <c r="AE303" s="165" t="e">
        <f>+N303-#REF!</f>
        <v>#REF!</v>
      </c>
      <c r="AG303" s="3" t="s">
        <v>212</v>
      </c>
      <c r="AH303" s="4">
        <f t="shared" si="45"/>
        <v>287020.62115584</v>
      </c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>
        <v>263020.62115584</v>
      </c>
      <c r="AV303" s="4">
        <v>24000</v>
      </c>
      <c r="AW303" s="4"/>
      <c r="AZ303" s="156">
        <f>+N303-'Приложение №4'!E298</f>
        <v>0</v>
      </c>
    </row>
    <row r="304" spans="1:52" ht="15" x14ac:dyDescent="0.25">
      <c r="A304" s="122">
        <f t="shared" si="42"/>
        <v>287</v>
      </c>
      <c r="B304" s="62">
        <f t="shared" si="43"/>
        <v>287</v>
      </c>
      <c r="C304" s="62" t="s">
        <v>65</v>
      </c>
      <c r="D304" s="62" t="s">
        <v>213</v>
      </c>
      <c r="E304" s="123" t="s">
        <v>121</v>
      </c>
      <c r="F304" s="123"/>
      <c r="G304" s="123" t="s">
        <v>96</v>
      </c>
      <c r="H304" s="123" t="s">
        <v>108</v>
      </c>
      <c r="I304" s="123" t="s">
        <v>105</v>
      </c>
      <c r="J304" s="64">
        <v>3033.4</v>
      </c>
      <c r="K304" s="64">
        <v>2419.1999999999998</v>
      </c>
      <c r="L304" s="64">
        <v>0</v>
      </c>
      <c r="M304" s="124">
        <v>90</v>
      </c>
      <c r="N304" s="95">
        <f t="shared" si="39"/>
        <v>221565.7494528</v>
      </c>
      <c r="O304" s="64">
        <v>0</v>
      </c>
      <c r="P304" s="64"/>
      <c r="Q304" s="64"/>
      <c r="R304" s="64">
        <f>+'[12]Приложение № 4'!E277</f>
        <v>221565.7494528</v>
      </c>
      <c r="S304" s="64"/>
      <c r="T304" s="64"/>
      <c r="U304" s="64">
        <f t="shared" si="44"/>
        <v>91.586371301587306</v>
      </c>
      <c r="V304" s="64">
        <f t="shared" si="44"/>
        <v>91.586371301587306</v>
      </c>
      <c r="W304" s="163" t="s">
        <v>495</v>
      </c>
      <c r="X304" s="156" t="e">
        <f>+N304-#REF!</f>
        <v>#REF!</v>
      </c>
      <c r="Y304" s="153">
        <v>778967.93</v>
      </c>
      <c r="Z304" s="153">
        <f t="shared" si="46"/>
        <v>264176.63999999996</v>
      </c>
      <c r="AB304" s="156" t="e">
        <f>+N304-#REF!</f>
        <v>#REF!</v>
      </c>
      <c r="AC304" s="164">
        <f>+N304-'[12]Приложение № 4'!E277</f>
        <v>0</v>
      </c>
      <c r="AE304" s="165" t="e">
        <f>+N304-#REF!</f>
        <v>#REF!</v>
      </c>
      <c r="AG304" s="3" t="s">
        <v>213</v>
      </c>
      <c r="AH304" s="4">
        <f t="shared" si="45"/>
        <v>280969.90556928003</v>
      </c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>
        <v>256969.90556928</v>
      </c>
      <c r="AV304" s="4">
        <v>24000</v>
      </c>
      <c r="AW304" s="4"/>
      <c r="AZ304" s="156">
        <f>+N304-'Приложение №4'!E299</f>
        <v>0</v>
      </c>
    </row>
    <row r="305" spans="1:52" ht="15" x14ac:dyDescent="0.25">
      <c r="A305" s="122">
        <f t="shared" si="42"/>
        <v>288</v>
      </c>
      <c r="B305" s="62">
        <f t="shared" si="43"/>
        <v>288</v>
      </c>
      <c r="C305" s="62" t="s">
        <v>65</v>
      </c>
      <c r="D305" s="62" t="s">
        <v>214</v>
      </c>
      <c r="E305" s="123" t="s">
        <v>139</v>
      </c>
      <c r="F305" s="123"/>
      <c r="G305" s="123" t="s">
        <v>96</v>
      </c>
      <c r="H305" s="123" t="s">
        <v>108</v>
      </c>
      <c r="I305" s="123" t="s">
        <v>105</v>
      </c>
      <c r="J305" s="64">
        <v>3389.2</v>
      </c>
      <c r="K305" s="64">
        <v>2471.1999999999998</v>
      </c>
      <c r="L305" s="64">
        <v>0</v>
      </c>
      <c r="M305" s="124">
        <v>85</v>
      </c>
      <c r="N305" s="95">
        <f t="shared" si="39"/>
        <v>287712.29393664002</v>
      </c>
      <c r="O305" s="64">
        <v>0</v>
      </c>
      <c r="P305" s="64"/>
      <c r="Q305" s="64"/>
      <c r="R305" s="64">
        <f>+'[12]Приложение № 4'!E278</f>
        <v>287712.29393664002</v>
      </c>
      <c r="S305" s="64"/>
      <c r="T305" s="64"/>
      <c r="U305" s="64">
        <f t="shared" si="44"/>
        <v>116.42614678562643</v>
      </c>
      <c r="V305" s="64">
        <f t="shared" si="44"/>
        <v>116.42614678562643</v>
      </c>
      <c r="W305" s="163" t="s">
        <v>495</v>
      </c>
      <c r="X305" s="156" t="e">
        <f>+N305-#REF!</f>
        <v>#REF!</v>
      </c>
      <c r="Y305" s="153">
        <v>822734.23</v>
      </c>
      <c r="Z305" s="153">
        <f t="shared" si="46"/>
        <v>269855.03999999998</v>
      </c>
      <c r="AB305" s="156" t="e">
        <f>+N305-#REF!</f>
        <v>#REF!</v>
      </c>
      <c r="AC305" s="164">
        <f>+N305-'[12]Приложение № 4'!E278</f>
        <v>0</v>
      </c>
      <c r="AE305" s="165" t="e">
        <f>+N305-#REF!</f>
        <v>#REF!</v>
      </c>
      <c r="AG305" s="3" t="s">
        <v>214</v>
      </c>
      <c r="AH305" s="4">
        <f t="shared" si="45"/>
        <v>287712.29393664002</v>
      </c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>
        <v>263712.29393664002</v>
      </c>
      <c r="AV305" s="4">
        <v>24000</v>
      </c>
      <c r="AW305" s="4"/>
      <c r="AZ305" s="156">
        <f>+N305-'Приложение №4'!E300</f>
        <v>0</v>
      </c>
    </row>
    <row r="306" spans="1:52" ht="15" x14ac:dyDescent="0.25">
      <c r="A306" s="122">
        <f t="shared" si="42"/>
        <v>289</v>
      </c>
      <c r="B306" s="62">
        <f t="shared" si="43"/>
        <v>289</v>
      </c>
      <c r="C306" s="62" t="s">
        <v>65</v>
      </c>
      <c r="D306" s="62" t="s">
        <v>215</v>
      </c>
      <c r="E306" s="123" t="s">
        <v>139</v>
      </c>
      <c r="F306" s="123"/>
      <c r="G306" s="123" t="s">
        <v>96</v>
      </c>
      <c r="H306" s="123" t="s">
        <v>108</v>
      </c>
      <c r="I306" s="123" t="s">
        <v>105</v>
      </c>
      <c r="J306" s="64">
        <v>2864.2</v>
      </c>
      <c r="K306" s="64">
        <v>2466.6</v>
      </c>
      <c r="L306" s="64">
        <v>0</v>
      </c>
      <c r="M306" s="124">
        <v>87</v>
      </c>
      <c r="N306" s="95">
        <f t="shared" si="39"/>
        <v>277763.57585664</v>
      </c>
      <c r="O306" s="64">
        <v>0</v>
      </c>
      <c r="P306" s="64"/>
      <c r="Q306" s="64"/>
      <c r="R306" s="64">
        <f>+'[12]Приложение № 4'!E279</f>
        <v>277763.57585664</v>
      </c>
      <c r="S306" s="64"/>
      <c r="T306" s="64"/>
      <c r="U306" s="64">
        <f t="shared" si="44"/>
        <v>112.60989858778886</v>
      </c>
      <c r="V306" s="64">
        <f t="shared" si="44"/>
        <v>112.60989858778886</v>
      </c>
      <c r="W306" s="163" t="s">
        <v>495</v>
      </c>
      <c r="X306" s="156" t="e">
        <f>+N306-#REF!</f>
        <v>#REF!</v>
      </c>
      <c r="Y306" s="153">
        <v>650204.17000000004</v>
      </c>
      <c r="Z306" s="153">
        <f t="shared" si="46"/>
        <v>269352.71999999997</v>
      </c>
      <c r="AB306" s="156" t="e">
        <f>+N306-#REF!</f>
        <v>#REF!</v>
      </c>
      <c r="AC306" s="164">
        <f>+N306-'[12]Приложение № 4'!E279</f>
        <v>0</v>
      </c>
      <c r="AE306" s="165" t="e">
        <f>+N306-#REF!</f>
        <v>#REF!</v>
      </c>
      <c r="AG306" s="3" t="s">
        <v>215</v>
      </c>
      <c r="AH306" s="4">
        <f t="shared" si="45"/>
        <v>277763.57585664</v>
      </c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>
        <v>253763.57585664</v>
      </c>
      <c r="AV306" s="4">
        <v>24000</v>
      </c>
      <c r="AW306" s="4"/>
      <c r="AZ306" s="156">
        <f>+N306-'Приложение №4'!E301</f>
        <v>0</v>
      </c>
    </row>
    <row r="307" spans="1:52" ht="15" x14ac:dyDescent="0.25">
      <c r="A307" s="122">
        <f t="shared" si="42"/>
        <v>290</v>
      </c>
      <c r="B307" s="62">
        <f t="shared" si="43"/>
        <v>290</v>
      </c>
      <c r="C307" s="62" t="s">
        <v>65</v>
      </c>
      <c r="D307" s="62" t="s">
        <v>216</v>
      </c>
      <c r="E307" s="123" t="s">
        <v>120</v>
      </c>
      <c r="F307" s="123"/>
      <c r="G307" s="123" t="s">
        <v>96</v>
      </c>
      <c r="H307" s="123" t="s">
        <v>108</v>
      </c>
      <c r="I307" s="123" t="s">
        <v>101</v>
      </c>
      <c r="J307" s="64">
        <v>2807.9</v>
      </c>
      <c r="K307" s="64">
        <v>2367.4</v>
      </c>
      <c r="L307" s="64">
        <v>0</v>
      </c>
      <c r="M307" s="124">
        <v>76</v>
      </c>
      <c r="N307" s="95">
        <f t="shared" si="39"/>
        <v>218024.09335680003</v>
      </c>
      <c r="O307" s="64">
        <v>0</v>
      </c>
      <c r="P307" s="64"/>
      <c r="Q307" s="64"/>
      <c r="R307" s="64">
        <f>+'[12]Приложение № 4'!E280</f>
        <v>218024.09335680003</v>
      </c>
      <c r="S307" s="64"/>
      <c r="T307" s="64"/>
      <c r="U307" s="64">
        <f t="shared" si="44"/>
        <v>92.094320079749949</v>
      </c>
      <c r="V307" s="64">
        <f t="shared" si="44"/>
        <v>92.094320079749949</v>
      </c>
      <c r="W307" s="163" t="s">
        <v>495</v>
      </c>
      <c r="X307" s="156" t="e">
        <f>+N307-#REF!</f>
        <v>#REF!</v>
      </c>
      <c r="Y307" s="153">
        <v>620742.48</v>
      </c>
      <c r="Z307" s="153">
        <f t="shared" si="46"/>
        <v>258520.08000000002</v>
      </c>
      <c r="AB307" s="156" t="e">
        <f>+N307-#REF!</f>
        <v>#REF!</v>
      </c>
      <c r="AC307" s="164">
        <f>+N307-'[12]Приложение № 4'!E280</f>
        <v>0</v>
      </c>
      <c r="AE307" s="165" t="e">
        <f>+N307-#REF!</f>
        <v>#REF!</v>
      </c>
      <c r="AG307" s="3" t="s">
        <v>216</v>
      </c>
      <c r="AH307" s="4">
        <f t="shared" si="45"/>
        <v>276696.69427968003</v>
      </c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>
        <v>252696.69427968006</v>
      </c>
      <c r="AV307" s="4">
        <v>24000</v>
      </c>
      <c r="AW307" s="4"/>
      <c r="AZ307" s="156">
        <f>+N307-'Приложение №4'!E302</f>
        <v>0</v>
      </c>
    </row>
    <row r="308" spans="1:52" ht="15" x14ac:dyDescent="0.25">
      <c r="A308" s="122">
        <f t="shared" si="42"/>
        <v>291</v>
      </c>
      <c r="B308" s="62">
        <f t="shared" si="43"/>
        <v>291</v>
      </c>
      <c r="C308" s="62" t="s">
        <v>65</v>
      </c>
      <c r="D308" s="62" t="s">
        <v>217</v>
      </c>
      <c r="E308" s="123" t="s">
        <v>503</v>
      </c>
      <c r="F308" s="123"/>
      <c r="G308" s="123" t="s">
        <v>506</v>
      </c>
      <c r="H308" s="123" t="s">
        <v>105</v>
      </c>
      <c r="I308" s="123" t="s">
        <v>105</v>
      </c>
      <c r="J308" s="64">
        <v>2784.1</v>
      </c>
      <c r="K308" s="64">
        <v>2783</v>
      </c>
      <c r="L308" s="64">
        <v>0</v>
      </c>
      <c r="M308" s="124">
        <v>91</v>
      </c>
      <c r="N308" s="95">
        <f t="shared" si="39"/>
        <v>394760.17777919996</v>
      </c>
      <c r="O308" s="64">
        <v>0</v>
      </c>
      <c r="P308" s="64"/>
      <c r="Q308" s="64"/>
      <c r="R308" s="64">
        <f>+'[12]Приложение № 4'!E281</f>
        <v>394760.17777919996</v>
      </c>
      <c r="S308" s="64"/>
      <c r="T308" s="64"/>
      <c r="U308" s="64">
        <f t="shared" si="44"/>
        <v>141.84699165619833</v>
      </c>
      <c r="V308" s="64">
        <f t="shared" si="44"/>
        <v>141.84699165619833</v>
      </c>
      <c r="W308" s="163" t="s">
        <v>495</v>
      </c>
      <c r="X308" s="156" t="e">
        <f>+N308-#REF!</f>
        <v>#REF!</v>
      </c>
      <c r="Y308" s="153">
        <v>862612.79</v>
      </c>
      <c r="Z308" s="153">
        <f t="shared" si="46"/>
        <v>303903.59999999998</v>
      </c>
      <c r="AB308" s="156" t="e">
        <f>+N308-#REF!</f>
        <v>#REF!</v>
      </c>
      <c r="AC308" s="164">
        <f>+N308-'[12]Приложение № 4'!E281</f>
        <v>0</v>
      </c>
      <c r="AE308" s="165" t="e">
        <f>+N308-#REF!</f>
        <v>#REF!</v>
      </c>
      <c r="AG308" s="3" t="s">
        <v>217</v>
      </c>
      <c r="AH308" s="4">
        <f t="shared" si="45"/>
        <v>376839.48289919994</v>
      </c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>
        <v>352839.48289919994</v>
      </c>
      <c r="AV308" s="4">
        <v>24000</v>
      </c>
      <c r="AW308" s="4"/>
      <c r="AZ308" s="156">
        <f>+N308-'Приложение №4'!E303</f>
        <v>0</v>
      </c>
    </row>
    <row r="309" spans="1:52" ht="15" x14ac:dyDescent="0.25">
      <c r="A309" s="122">
        <f t="shared" si="42"/>
        <v>292</v>
      </c>
      <c r="B309" s="62">
        <f t="shared" si="43"/>
        <v>292</v>
      </c>
      <c r="C309" s="62" t="s">
        <v>65</v>
      </c>
      <c r="D309" s="62" t="s">
        <v>218</v>
      </c>
      <c r="E309" s="123" t="s">
        <v>115</v>
      </c>
      <c r="F309" s="123"/>
      <c r="G309" s="123" t="s">
        <v>96</v>
      </c>
      <c r="H309" s="123" t="s">
        <v>105</v>
      </c>
      <c r="I309" s="123" t="s">
        <v>98</v>
      </c>
      <c r="J309" s="64">
        <v>1437.6</v>
      </c>
      <c r="K309" s="64">
        <v>982</v>
      </c>
      <c r="L309" s="64">
        <v>0</v>
      </c>
      <c r="M309" s="124">
        <v>55</v>
      </c>
      <c r="N309" s="95">
        <f t="shared" si="39"/>
        <v>208540.08387089521</v>
      </c>
      <c r="O309" s="64">
        <v>0</v>
      </c>
      <c r="P309" s="64"/>
      <c r="Q309" s="64"/>
      <c r="R309" s="64">
        <f>+'[12]Приложение № 4'!E282</f>
        <v>208540.08387089521</v>
      </c>
      <c r="S309" s="64"/>
      <c r="T309" s="64"/>
      <c r="U309" s="64">
        <f t="shared" si="44"/>
        <v>212.36261086649208</v>
      </c>
      <c r="V309" s="64">
        <f t="shared" si="44"/>
        <v>212.36261086649208</v>
      </c>
      <c r="W309" s="163" t="s">
        <v>495</v>
      </c>
      <c r="X309" s="156" t="e">
        <f>+N309-#REF!</f>
        <v>#REF!</v>
      </c>
      <c r="Y309" s="153">
        <v>473378.23</v>
      </c>
      <c r="Z309" s="153">
        <f t="shared" si="46"/>
        <v>107234.4</v>
      </c>
      <c r="AB309" s="156" t="e">
        <f>+N309-#REF!</f>
        <v>#REF!</v>
      </c>
      <c r="AC309" s="164">
        <f>+N309-'[12]Приложение № 4'!E282</f>
        <v>0</v>
      </c>
      <c r="AE309" s="165" t="e">
        <f>+N309-#REF!</f>
        <v>#REF!</v>
      </c>
      <c r="AG309" s="3" t="s">
        <v>218</v>
      </c>
      <c r="AH309" s="4">
        <f t="shared" si="45"/>
        <v>208540.08387089521</v>
      </c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>
        <v>184540.08387089521</v>
      </c>
      <c r="AV309" s="4">
        <v>24000</v>
      </c>
      <c r="AW309" s="4"/>
      <c r="AZ309" s="156">
        <f>+N309-'Приложение №4'!E304</f>
        <v>0</v>
      </c>
    </row>
    <row r="310" spans="1:52" ht="15" x14ac:dyDescent="0.25">
      <c r="A310" s="122">
        <f t="shared" si="42"/>
        <v>293</v>
      </c>
      <c r="B310" s="62">
        <f t="shared" si="43"/>
        <v>293</v>
      </c>
      <c r="C310" s="62" t="s">
        <v>65</v>
      </c>
      <c r="D310" s="62" t="s">
        <v>219</v>
      </c>
      <c r="E310" s="123" t="s">
        <v>117</v>
      </c>
      <c r="F310" s="123"/>
      <c r="G310" s="123" t="s">
        <v>96</v>
      </c>
      <c r="H310" s="123" t="s">
        <v>105</v>
      </c>
      <c r="I310" s="123" t="s">
        <v>101</v>
      </c>
      <c r="J310" s="64">
        <v>2238.1999999999998</v>
      </c>
      <c r="K310" s="64">
        <v>2071.35</v>
      </c>
      <c r="L310" s="64">
        <v>0</v>
      </c>
      <c r="M310" s="124">
        <v>74</v>
      </c>
      <c r="N310" s="95">
        <f t="shared" si="39"/>
        <v>41034.599999999991</v>
      </c>
      <c r="O310" s="64">
        <v>0</v>
      </c>
      <c r="P310" s="64"/>
      <c r="Q310" s="64"/>
      <c r="R310" s="64">
        <f>+'[12]Приложение № 4'!E283</f>
        <v>41034.599999999991</v>
      </c>
      <c r="S310" s="64"/>
      <c r="T310" s="64"/>
      <c r="U310" s="64">
        <f t="shared" si="44"/>
        <v>19.810558331522916</v>
      </c>
      <c r="V310" s="64">
        <f t="shared" si="44"/>
        <v>19.810558331522916</v>
      </c>
      <c r="W310" s="163" t="s">
        <v>495</v>
      </c>
      <c r="X310" s="156" t="e">
        <f>+N310-#REF!</f>
        <v>#REF!</v>
      </c>
      <c r="Y310" s="153">
        <v>550928.06000000006</v>
      </c>
      <c r="Z310" s="153">
        <f t="shared" si="46"/>
        <v>226191.41999999998</v>
      </c>
      <c r="AB310" s="156" t="e">
        <f>+N310-#REF!</f>
        <v>#REF!</v>
      </c>
      <c r="AC310" s="164">
        <f>+N310-'[12]Приложение № 4'!E283</f>
        <v>0</v>
      </c>
      <c r="AE310" s="165" t="e">
        <f>+N310-#REF!</f>
        <v>#REF!</v>
      </c>
      <c r="AG310" s="3" t="s">
        <v>219</v>
      </c>
      <c r="AH310" s="4">
        <f t="shared" si="45"/>
        <v>357706.72999680002</v>
      </c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>
        <v>333706.72999680002</v>
      </c>
      <c r="AV310" s="4">
        <v>24000</v>
      </c>
      <c r="AW310" s="4"/>
      <c r="AZ310" s="156">
        <f>+N310-'Приложение №4'!E305</f>
        <v>0</v>
      </c>
    </row>
    <row r="311" spans="1:52" ht="15" x14ac:dyDescent="0.25">
      <c r="A311" s="122">
        <f t="shared" si="42"/>
        <v>294</v>
      </c>
      <c r="B311" s="62">
        <f t="shared" si="43"/>
        <v>294</v>
      </c>
      <c r="C311" s="62" t="s">
        <v>65</v>
      </c>
      <c r="D311" s="62" t="s">
        <v>220</v>
      </c>
      <c r="E311" s="123" t="s">
        <v>133</v>
      </c>
      <c r="F311" s="123"/>
      <c r="G311" s="123" t="s">
        <v>96</v>
      </c>
      <c r="H311" s="123" t="s">
        <v>105</v>
      </c>
      <c r="I311" s="123" t="s">
        <v>105</v>
      </c>
      <c r="J311" s="64">
        <v>2629.8</v>
      </c>
      <c r="K311" s="64">
        <v>1855</v>
      </c>
      <c r="L311" s="64">
        <v>0</v>
      </c>
      <c r="M311" s="124">
        <v>59</v>
      </c>
      <c r="N311" s="95">
        <f t="shared" si="39"/>
        <v>541814.91922176001</v>
      </c>
      <c r="O311" s="64">
        <v>0</v>
      </c>
      <c r="P311" s="64"/>
      <c r="Q311" s="64"/>
      <c r="R311" s="64">
        <f>+'[12]Приложение № 4'!E284</f>
        <v>541814.91922176001</v>
      </c>
      <c r="S311" s="64"/>
      <c r="T311" s="64"/>
      <c r="U311" s="64">
        <f t="shared" si="44"/>
        <v>292.08351440526144</v>
      </c>
      <c r="V311" s="64">
        <f t="shared" si="44"/>
        <v>292.08351440526144</v>
      </c>
      <c r="W311" s="163" t="s">
        <v>495</v>
      </c>
      <c r="X311" s="156" t="e">
        <f>+N311-#REF!</f>
        <v>#REF!</v>
      </c>
      <c r="Y311" s="153">
        <v>519352.06</v>
      </c>
      <c r="Z311" s="153">
        <f t="shared" si="46"/>
        <v>202566</v>
      </c>
      <c r="AB311" s="156" t="e">
        <f>+N311-#REF!</f>
        <v>#REF!</v>
      </c>
      <c r="AC311" s="164">
        <f>+N311-'[12]Приложение № 4'!E284</f>
        <v>0</v>
      </c>
      <c r="AE311" s="165" t="e">
        <f>+N311-#REF!</f>
        <v>#REF!</v>
      </c>
      <c r="AG311" s="3" t="s">
        <v>220</v>
      </c>
      <c r="AH311" s="4">
        <f t="shared" si="45"/>
        <v>541814.91922176001</v>
      </c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>
        <v>517814.91922175995</v>
      </c>
      <c r="AV311" s="4">
        <v>24000</v>
      </c>
      <c r="AW311" s="4"/>
      <c r="AZ311" s="156">
        <f>+N311-'Приложение №4'!E306</f>
        <v>0</v>
      </c>
    </row>
    <row r="312" spans="1:52" ht="15" x14ac:dyDescent="0.25">
      <c r="A312" s="122">
        <f t="shared" si="42"/>
        <v>295</v>
      </c>
      <c r="B312" s="62">
        <f t="shared" si="43"/>
        <v>295</v>
      </c>
      <c r="C312" s="62" t="s">
        <v>65</v>
      </c>
      <c r="D312" s="62" t="s">
        <v>378</v>
      </c>
      <c r="E312" s="123" t="s">
        <v>107</v>
      </c>
      <c r="F312" s="123"/>
      <c r="G312" s="123" t="s">
        <v>96</v>
      </c>
      <c r="H312" s="123" t="s">
        <v>108</v>
      </c>
      <c r="I312" s="123" t="s">
        <v>101</v>
      </c>
      <c r="J312" s="64">
        <v>2466.9</v>
      </c>
      <c r="K312" s="64">
        <v>2149.6</v>
      </c>
      <c r="L312" s="64">
        <v>0</v>
      </c>
      <c r="M312" s="124">
        <v>105</v>
      </c>
      <c r="N312" s="95">
        <f t="shared" ref="N312:N334" si="47">+P312+Q312+R312+S312+T312</f>
        <v>268357.36501248</v>
      </c>
      <c r="O312" s="64">
        <v>0</v>
      </c>
      <c r="P312" s="64"/>
      <c r="Q312" s="64"/>
      <c r="R312" s="64">
        <f>+'[12]Приложение № 4'!E285</f>
        <v>268357.36501248</v>
      </c>
      <c r="S312" s="64"/>
      <c r="T312" s="64"/>
      <c r="U312" s="64">
        <f t="shared" si="44"/>
        <v>124.84060523468553</v>
      </c>
      <c r="V312" s="64">
        <f t="shared" si="44"/>
        <v>124.84060523468553</v>
      </c>
      <c r="W312" s="163" t="s">
        <v>495</v>
      </c>
      <c r="X312" s="156" t="e">
        <f>+N312-#REF!</f>
        <v>#REF!</v>
      </c>
      <c r="Y312" s="153">
        <v>531348.36</v>
      </c>
      <c r="Z312" s="153">
        <f t="shared" si="46"/>
        <v>234736.31999999995</v>
      </c>
      <c r="AB312" s="156" t="e">
        <f>+N312-#REF!</f>
        <v>#REF!</v>
      </c>
      <c r="AC312" s="164">
        <f>+N312-'[12]Приложение № 4'!E285</f>
        <v>0</v>
      </c>
      <c r="AE312" s="165" t="e">
        <f>+N312-#REF!</f>
        <v>#REF!</v>
      </c>
      <c r="AG312" s="3" t="s">
        <v>378</v>
      </c>
      <c r="AH312" s="4">
        <f t="shared" si="45"/>
        <v>268357.36501248</v>
      </c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>
        <v>244357.36501248</v>
      </c>
      <c r="AV312" s="4">
        <v>24000</v>
      </c>
      <c r="AW312" s="4"/>
      <c r="AZ312" s="156">
        <f>+N312-'Приложение №4'!E307</f>
        <v>0</v>
      </c>
    </row>
    <row r="313" spans="1:52" ht="15" x14ac:dyDescent="0.25">
      <c r="A313" s="122">
        <f t="shared" si="42"/>
        <v>296</v>
      </c>
      <c r="B313" s="62">
        <f t="shared" si="43"/>
        <v>296</v>
      </c>
      <c r="C313" s="62" t="s">
        <v>65</v>
      </c>
      <c r="D313" s="62" t="s">
        <v>379</v>
      </c>
      <c r="E313" s="123" t="s">
        <v>104</v>
      </c>
      <c r="F313" s="123"/>
      <c r="G313" s="123" t="s">
        <v>96</v>
      </c>
      <c r="H313" s="123" t="s">
        <v>108</v>
      </c>
      <c r="I313" s="123" t="s">
        <v>105</v>
      </c>
      <c r="J313" s="64">
        <v>3366.4</v>
      </c>
      <c r="K313" s="64">
        <v>2837.3</v>
      </c>
      <c r="L313" s="64">
        <v>0</v>
      </c>
      <c r="M313" s="124">
        <v>90</v>
      </c>
      <c r="N313" s="95">
        <f t="shared" si="47"/>
        <v>287280.23532288003</v>
      </c>
      <c r="O313" s="64">
        <v>0</v>
      </c>
      <c r="P313" s="64"/>
      <c r="Q313" s="64"/>
      <c r="R313" s="64">
        <f>+'[12]Приложение № 4'!E286</f>
        <v>287280.23532288003</v>
      </c>
      <c r="S313" s="64"/>
      <c r="T313" s="64"/>
      <c r="U313" s="64">
        <f t="shared" si="44"/>
        <v>101.25127245017447</v>
      </c>
      <c r="V313" s="64">
        <f t="shared" si="44"/>
        <v>101.25127245017447</v>
      </c>
      <c r="W313" s="163" t="s">
        <v>495</v>
      </c>
      <c r="X313" s="156" t="e">
        <f>+N313-#REF!</f>
        <v>#REF!</v>
      </c>
      <c r="Y313" s="153">
        <v>730192.68</v>
      </c>
      <c r="Z313" s="153">
        <f t="shared" si="46"/>
        <v>309833.16000000003</v>
      </c>
      <c r="AB313" s="156" t="e">
        <f>+N313-#REF!</f>
        <v>#REF!</v>
      </c>
      <c r="AC313" s="164">
        <f>+N313-'[12]Приложение № 4'!E286</f>
        <v>0</v>
      </c>
      <c r="AE313" s="165" t="e">
        <f>+N313-#REF!</f>
        <v>#REF!</v>
      </c>
      <c r="AG313" s="3" t="s">
        <v>379</v>
      </c>
      <c r="AH313" s="4">
        <f t="shared" si="45"/>
        <v>287280.23532288003</v>
      </c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>
        <v>263280.23532288003</v>
      </c>
      <c r="AV313" s="4">
        <v>24000</v>
      </c>
      <c r="AW313" s="4"/>
      <c r="AZ313" s="156">
        <f>+N313-'Приложение №4'!E308</f>
        <v>0</v>
      </c>
    </row>
    <row r="314" spans="1:52" ht="15" x14ac:dyDescent="0.25">
      <c r="A314" s="122">
        <f t="shared" si="42"/>
        <v>297</v>
      </c>
      <c r="B314" s="62">
        <f t="shared" si="43"/>
        <v>297</v>
      </c>
      <c r="C314" s="62" t="s">
        <v>65</v>
      </c>
      <c r="D314" s="62" t="s">
        <v>380</v>
      </c>
      <c r="E314" s="123" t="s">
        <v>514</v>
      </c>
      <c r="F314" s="123"/>
      <c r="G314" s="123" t="s">
        <v>96</v>
      </c>
      <c r="H314" s="123" t="s">
        <v>108</v>
      </c>
      <c r="I314" s="123" t="s">
        <v>105</v>
      </c>
      <c r="J314" s="64">
        <v>3381.4</v>
      </c>
      <c r="K314" s="64">
        <v>2449</v>
      </c>
      <c r="L314" s="64">
        <v>0</v>
      </c>
      <c r="M314" s="124">
        <v>88</v>
      </c>
      <c r="N314" s="95">
        <f t="shared" si="47"/>
        <v>281461.13080186542</v>
      </c>
      <c r="O314" s="64">
        <v>0</v>
      </c>
      <c r="P314" s="64"/>
      <c r="Q314" s="64"/>
      <c r="R314" s="64">
        <f>+'[12]Приложение № 4'!E287</f>
        <v>281461.13080186542</v>
      </c>
      <c r="S314" s="64"/>
      <c r="T314" s="64"/>
      <c r="U314" s="64">
        <f t="shared" si="44"/>
        <v>114.92900400239503</v>
      </c>
      <c r="V314" s="64">
        <f t="shared" si="44"/>
        <v>114.92900400239503</v>
      </c>
      <c r="W314" s="163" t="s">
        <v>495</v>
      </c>
      <c r="X314" s="156" t="e">
        <f>+N314-#REF!</f>
        <v>#REF!</v>
      </c>
      <c r="Y314" s="153">
        <v>698628.94</v>
      </c>
      <c r="Z314" s="153">
        <f t="shared" si="46"/>
        <v>267430.8</v>
      </c>
      <c r="AB314" s="156" t="e">
        <f>+N314-#REF!</f>
        <v>#REF!</v>
      </c>
      <c r="AC314" s="164">
        <f>+N314-'[12]Приложение № 4'!E287</f>
        <v>0</v>
      </c>
      <c r="AE314" s="165" t="e">
        <f>+N314-#REF!</f>
        <v>#REF!</v>
      </c>
      <c r="AG314" s="3" t="s">
        <v>380</v>
      </c>
      <c r="AH314" s="4">
        <f t="shared" si="45"/>
        <v>281461.13080186542</v>
      </c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>
        <v>237701.29342906541</v>
      </c>
      <c r="AV314" s="4">
        <v>43759.837372800001</v>
      </c>
      <c r="AW314" s="4"/>
      <c r="AZ314" s="156">
        <f>+N314-'Приложение №4'!E309</f>
        <v>0</v>
      </c>
    </row>
    <row r="315" spans="1:52" ht="15" x14ac:dyDescent="0.25">
      <c r="A315" s="122">
        <f t="shared" si="42"/>
        <v>298</v>
      </c>
      <c r="B315" s="62">
        <f t="shared" si="43"/>
        <v>298</v>
      </c>
      <c r="C315" s="62" t="s">
        <v>65</v>
      </c>
      <c r="D315" s="62" t="s">
        <v>381</v>
      </c>
      <c r="E315" s="123" t="s">
        <v>122</v>
      </c>
      <c r="F315" s="123"/>
      <c r="G315" s="123" t="s">
        <v>96</v>
      </c>
      <c r="H315" s="123" t="s">
        <v>108</v>
      </c>
      <c r="I315" s="123" t="s">
        <v>105</v>
      </c>
      <c r="J315" s="64">
        <v>3395.5</v>
      </c>
      <c r="K315" s="64">
        <v>2449.9</v>
      </c>
      <c r="L315" s="64">
        <v>0</v>
      </c>
      <c r="M315" s="124">
        <v>86</v>
      </c>
      <c r="N315" s="95">
        <f t="shared" si="47"/>
        <v>287831.67855359998</v>
      </c>
      <c r="O315" s="64">
        <v>0</v>
      </c>
      <c r="P315" s="64"/>
      <c r="Q315" s="64"/>
      <c r="R315" s="64">
        <f>+'[12]Приложение № 4'!E288</f>
        <v>287831.67855359998</v>
      </c>
      <c r="S315" s="64"/>
      <c r="T315" s="64"/>
      <c r="U315" s="64">
        <f t="shared" si="44"/>
        <v>117.48711316935383</v>
      </c>
      <c r="V315" s="64">
        <f t="shared" si="44"/>
        <v>117.48711316935383</v>
      </c>
      <c r="W315" s="163" t="s">
        <v>495</v>
      </c>
      <c r="X315" s="156" t="e">
        <f>+N315-#REF!</f>
        <v>#REF!</v>
      </c>
      <c r="Y315" s="153">
        <v>909308.19</v>
      </c>
      <c r="Z315" s="153">
        <f t="shared" si="46"/>
        <v>267529.08</v>
      </c>
      <c r="AB315" s="156" t="e">
        <f>+N315-#REF!</f>
        <v>#REF!</v>
      </c>
      <c r="AC315" s="164">
        <f>+N315-'[12]Приложение № 4'!E288</f>
        <v>0</v>
      </c>
      <c r="AE315" s="165" t="e">
        <f>+N315-#REF!</f>
        <v>#REF!</v>
      </c>
      <c r="AG315" s="3" t="s">
        <v>381</v>
      </c>
      <c r="AH315" s="4">
        <f t="shared" si="45"/>
        <v>287831.67855359998</v>
      </c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>
        <v>263831.67855359998</v>
      </c>
      <c r="AV315" s="4">
        <v>24000</v>
      </c>
      <c r="AW315" s="4"/>
      <c r="AZ315" s="156">
        <f>+N315-'Приложение №4'!E310</f>
        <v>0</v>
      </c>
    </row>
    <row r="316" spans="1:52" ht="15" x14ac:dyDescent="0.25">
      <c r="A316" s="122">
        <f t="shared" si="42"/>
        <v>299</v>
      </c>
      <c r="B316" s="62">
        <f t="shared" si="43"/>
        <v>299</v>
      </c>
      <c r="C316" s="62" t="s">
        <v>65</v>
      </c>
      <c r="D316" s="62" t="s">
        <v>382</v>
      </c>
      <c r="E316" s="123" t="s">
        <v>110</v>
      </c>
      <c r="F316" s="123"/>
      <c r="G316" s="123" t="s">
        <v>96</v>
      </c>
      <c r="H316" s="123" t="s">
        <v>108</v>
      </c>
      <c r="I316" s="123" t="s">
        <v>105</v>
      </c>
      <c r="J316" s="64">
        <v>3313.8</v>
      </c>
      <c r="K316" s="64">
        <v>2365.9</v>
      </c>
      <c r="L316" s="64">
        <v>0</v>
      </c>
      <c r="M316" s="124">
        <v>83</v>
      </c>
      <c r="N316" s="95">
        <f t="shared" si="47"/>
        <v>322815.71727245557</v>
      </c>
      <c r="O316" s="64">
        <v>0</v>
      </c>
      <c r="P316" s="64"/>
      <c r="Q316" s="64"/>
      <c r="R316" s="64">
        <f>+'[12]Приложение № 4'!E289</f>
        <v>322815.71727245557</v>
      </c>
      <c r="S316" s="64"/>
      <c r="T316" s="64"/>
      <c r="U316" s="64">
        <f t="shared" si="44"/>
        <v>136.44520785851284</v>
      </c>
      <c r="V316" s="64">
        <f t="shared" si="44"/>
        <v>136.44520785851284</v>
      </c>
      <c r="W316" s="163" t="s">
        <v>495</v>
      </c>
      <c r="X316" s="156" t="e">
        <f>+N316-#REF!</f>
        <v>#REF!</v>
      </c>
      <c r="Y316" s="153">
        <v>709596.33</v>
      </c>
      <c r="Z316" s="153">
        <f t="shared" si="46"/>
        <v>258356.27999999997</v>
      </c>
      <c r="AB316" s="156" t="e">
        <f>+N316-#REF!</f>
        <v>#REF!</v>
      </c>
      <c r="AC316" s="164">
        <f>+N316-'[12]Приложение № 4'!E289</f>
        <v>0</v>
      </c>
      <c r="AE316" s="165" t="e">
        <f>+N316-#REF!</f>
        <v>#REF!</v>
      </c>
      <c r="AG316" s="3" t="s">
        <v>382</v>
      </c>
      <c r="AH316" s="4">
        <f t="shared" si="45"/>
        <v>322815.71727245557</v>
      </c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>
        <v>298815.71727245557</v>
      </c>
      <c r="AV316" s="4">
        <v>24000</v>
      </c>
      <c r="AW316" s="4"/>
      <c r="AZ316" s="156">
        <f>+N316-'Приложение №4'!E311</f>
        <v>0</v>
      </c>
    </row>
    <row r="317" spans="1:52" ht="15" x14ac:dyDescent="0.25">
      <c r="A317" s="122">
        <f t="shared" si="42"/>
        <v>300</v>
      </c>
      <c r="B317" s="62">
        <f t="shared" si="43"/>
        <v>300</v>
      </c>
      <c r="C317" s="62" t="s">
        <v>65</v>
      </c>
      <c r="D317" s="62" t="s">
        <v>383</v>
      </c>
      <c r="E317" s="123" t="s">
        <v>104</v>
      </c>
      <c r="F317" s="123"/>
      <c r="G317" s="123" t="s">
        <v>96</v>
      </c>
      <c r="H317" s="123" t="s">
        <v>108</v>
      </c>
      <c r="I317" s="123" t="s">
        <v>105</v>
      </c>
      <c r="J317" s="64">
        <v>3306.7</v>
      </c>
      <c r="K317" s="64">
        <v>2790.3</v>
      </c>
      <c r="L317" s="64">
        <v>0</v>
      </c>
      <c r="M317" s="124">
        <v>110</v>
      </c>
      <c r="N317" s="95">
        <f t="shared" si="47"/>
        <v>241502.54621568002</v>
      </c>
      <c r="O317" s="64">
        <v>0</v>
      </c>
      <c r="P317" s="64"/>
      <c r="Q317" s="64"/>
      <c r="R317" s="64">
        <f>+'[12]Приложение № 4'!E290</f>
        <v>241502.54621568002</v>
      </c>
      <c r="S317" s="64"/>
      <c r="T317" s="64"/>
      <c r="U317" s="64">
        <f t="shared" si="44"/>
        <v>86.55074587523923</v>
      </c>
      <c r="V317" s="64">
        <f t="shared" si="44"/>
        <v>86.55074587523923</v>
      </c>
      <c r="W317" s="163" t="s">
        <v>495</v>
      </c>
      <c r="X317" s="156" t="e">
        <f>+N317-#REF!</f>
        <v>#REF!</v>
      </c>
      <c r="Y317" s="153">
        <v>650741.23</v>
      </c>
      <c r="Z317" s="153">
        <f t="shared" si="46"/>
        <v>304700.76</v>
      </c>
      <c r="AB317" s="156" t="e">
        <f>+N317-#REF!</f>
        <v>#REF!</v>
      </c>
      <c r="AC317" s="164">
        <f>+N317-'[12]Приложение № 4'!E290</f>
        <v>0</v>
      </c>
      <c r="AE317" s="165" t="e">
        <f>+N317-#REF!</f>
        <v>#REF!</v>
      </c>
      <c r="AG317" s="3" t="s">
        <v>383</v>
      </c>
      <c r="AH317" s="4">
        <f t="shared" si="45"/>
        <v>306517.909095168</v>
      </c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>
        <v>282517.909095168</v>
      </c>
      <c r="AV317" s="4">
        <v>24000</v>
      </c>
      <c r="AW317" s="4"/>
      <c r="AZ317" s="156">
        <f>+N317-'Приложение №4'!E312</f>
        <v>0</v>
      </c>
    </row>
    <row r="318" spans="1:52" ht="15" x14ac:dyDescent="0.25">
      <c r="A318" s="122">
        <f t="shared" si="42"/>
        <v>301</v>
      </c>
      <c r="B318" s="62">
        <f t="shared" si="43"/>
        <v>301</v>
      </c>
      <c r="C318" s="62" t="s">
        <v>65</v>
      </c>
      <c r="D318" s="62" t="s">
        <v>384</v>
      </c>
      <c r="E318" s="123" t="s">
        <v>152</v>
      </c>
      <c r="F318" s="123"/>
      <c r="G318" s="123" t="s">
        <v>96</v>
      </c>
      <c r="H318" s="123" t="s">
        <v>105</v>
      </c>
      <c r="I318" s="123"/>
      <c r="J318" s="64">
        <v>1408</v>
      </c>
      <c r="K318" s="64">
        <v>825.1</v>
      </c>
      <c r="L318" s="64"/>
      <c r="M318" s="124"/>
      <c r="N318" s="95">
        <f t="shared" si="47"/>
        <v>898204.23633291502</v>
      </c>
      <c r="O318" s="64">
        <v>0</v>
      </c>
      <c r="P318" s="64"/>
      <c r="Q318" s="64"/>
      <c r="R318" s="64">
        <f>+'[12]Приложение № 4'!E291</f>
        <v>898204.23633291502</v>
      </c>
      <c r="S318" s="64"/>
      <c r="T318" s="64"/>
      <c r="U318" s="64">
        <f t="shared" si="44"/>
        <v>1088.6004561058235</v>
      </c>
      <c r="V318" s="64">
        <f t="shared" si="44"/>
        <v>1088.6004561058235</v>
      </c>
      <c r="W318" s="163" t="s">
        <v>495</v>
      </c>
      <c r="X318" s="156" t="e">
        <f>+N318-#REF!</f>
        <v>#REF!</v>
      </c>
      <c r="Z318" s="153">
        <f t="shared" si="46"/>
        <v>90100.92</v>
      </c>
      <c r="AB318" s="156" t="e">
        <f>+N318-#REF!</f>
        <v>#REF!</v>
      </c>
      <c r="AC318" s="164">
        <f>+N318-'[12]Приложение № 4'!E291</f>
        <v>0</v>
      </c>
      <c r="AE318" s="165" t="e">
        <f>+N318-#REF!</f>
        <v>#REF!</v>
      </c>
      <c r="AG318" s="3" t="s">
        <v>384</v>
      </c>
      <c r="AH318" s="4">
        <f t="shared" si="45"/>
        <v>898204.23633291502</v>
      </c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>
        <v>874204.23633291502</v>
      </c>
      <c r="AV318" s="4">
        <v>24000</v>
      </c>
      <c r="AW318" s="4"/>
      <c r="AZ318" s="156">
        <f>+N318-'Приложение №4'!E313</f>
        <v>0</v>
      </c>
    </row>
    <row r="319" spans="1:52" ht="15" x14ac:dyDescent="0.25">
      <c r="A319" s="122">
        <f t="shared" si="42"/>
        <v>302</v>
      </c>
      <c r="B319" s="62">
        <f t="shared" si="43"/>
        <v>302</v>
      </c>
      <c r="C319" s="62" t="s">
        <v>65</v>
      </c>
      <c r="D319" s="62" t="s">
        <v>385</v>
      </c>
      <c r="E319" s="123" t="s">
        <v>152</v>
      </c>
      <c r="F319" s="123"/>
      <c r="G319" s="123" t="s">
        <v>96</v>
      </c>
      <c r="H319" s="123" t="s">
        <v>105</v>
      </c>
      <c r="I319" s="123"/>
      <c r="J319" s="64">
        <v>1945.1</v>
      </c>
      <c r="K319" s="64">
        <v>927.4</v>
      </c>
      <c r="L319" s="64"/>
      <c r="M319" s="124"/>
      <c r="N319" s="95">
        <f t="shared" si="47"/>
        <v>913643.51444501453</v>
      </c>
      <c r="O319" s="64">
        <v>0</v>
      </c>
      <c r="P319" s="64"/>
      <c r="Q319" s="64"/>
      <c r="R319" s="64">
        <f>+'[12]Приложение № 4'!E292</f>
        <v>913643.51444501453</v>
      </c>
      <c r="S319" s="64"/>
      <c r="T319" s="64"/>
      <c r="U319" s="64">
        <f t="shared" si="44"/>
        <v>985.16661035692744</v>
      </c>
      <c r="V319" s="64">
        <f t="shared" si="44"/>
        <v>985.16661035692744</v>
      </c>
      <c r="W319" s="163" t="s">
        <v>495</v>
      </c>
      <c r="X319" s="156" t="e">
        <f>+N319-#REF!</f>
        <v>#REF!</v>
      </c>
      <c r="Z319" s="153">
        <f t="shared" si="46"/>
        <v>101272.08</v>
      </c>
      <c r="AB319" s="156" t="e">
        <f>+N319-#REF!</f>
        <v>#REF!</v>
      </c>
      <c r="AC319" s="164">
        <f>+N319-'[12]Приложение № 4'!E292</f>
        <v>0</v>
      </c>
      <c r="AE319" s="165" t="e">
        <f>+N319-#REF!</f>
        <v>#REF!</v>
      </c>
      <c r="AG319" s="3" t="s">
        <v>385</v>
      </c>
      <c r="AH319" s="4">
        <f t="shared" si="45"/>
        <v>913643.51444501453</v>
      </c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>
        <v>889643.51444501453</v>
      </c>
      <c r="AV319" s="4">
        <v>24000</v>
      </c>
      <c r="AW319" s="4"/>
      <c r="AZ319" s="156">
        <f>+N319-'Приложение №4'!E314</f>
        <v>0</v>
      </c>
    </row>
    <row r="320" spans="1:52" ht="15" x14ac:dyDescent="0.25">
      <c r="A320" s="122">
        <f t="shared" si="42"/>
        <v>303</v>
      </c>
      <c r="B320" s="62">
        <f t="shared" si="43"/>
        <v>303</v>
      </c>
      <c r="C320" s="62" t="s">
        <v>523</v>
      </c>
      <c r="D320" s="62" t="s">
        <v>386</v>
      </c>
      <c r="E320" s="123" t="s">
        <v>139</v>
      </c>
      <c r="F320" s="123"/>
      <c r="G320" s="123" t="s">
        <v>96</v>
      </c>
      <c r="H320" s="123" t="s">
        <v>98</v>
      </c>
      <c r="I320" s="123" t="s">
        <v>98</v>
      </c>
      <c r="J320" s="64">
        <v>898.8</v>
      </c>
      <c r="K320" s="64">
        <v>806.6</v>
      </c>
      <c r="L320" s="64">
        <v>0</v>
      </c>
      <c r="M320" s="124">
        <v>47</v>
      </c>
      <c r="N320" s="95">
        <f t="shared" si="47"/>
        <v>139829.15</v>
      </c>
      <c r="O320" s="64">
        <v>0</v>
      </c>
      <c r="P320" s="64"/>
      <c r="Q320" s="64"/>
      <c r="R320" s="64">
        <f>+'[12]Приложение № 4'!E293</f>
        <v>139829.15</v>
      </c>
      <c r="S320" s="64"/>
      <c r="T320" s="64"/>
      <c r="U320" s="64">
        <f t="shared" si="44"/>
        <v>173.35624845028514</v>
      </c>
      <c r="V320" s="64">
        <f t="shared" si="44"/>
        <v>173.35624845028514</v>
      </c>
      <c r="W320" s="163" t="s">
        <v>495</v>
      </c>
      <c r="X320" s="156" t="e">
        <f>+N320-#REF!</f>
        <v>#REF!</v>
      </c>
      <c r="Z320" s="153">
        <f>+(K320*9.1+L320*18.19)*12</f>
        <v>88080.72</v>
      </c>
      <c r="AB320" s="156" t="e">
        <f>+N320-#REF!</f>
        <v>#REF!</v>
      </c>
      <c r="AC320" s="164">
        <f>+N320-'[12]Приложение № 4'!E293</f>
        <v>0</v>
      </c>
      <c r="AE320" s="165" t="e">
        <f>+N320-#REF!</f>
        <v>#REF!</v>
      </c>
      <c r="AG320" s="3" t="s">
        <v>386</v>
      </c>
      <c r="AH320" s="4">
        <f t="shared" si="45"/>
        <v>140425.13236862977</v>
      </c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>
        <v>116425.13236862977</v>
      </c>
      <c r="AV320" s="4">
        <v>24000</v>
      </c>
      <c r="AW320" s="4"/>
      <c r="AZ320" s="156">
        <f>+N320-'Приложение №4'!E315</f>
        <v>0</v>
      </c>
    </row>
    <row r="321" spans="1:52" ht="15" x14ac:dyDescent="0.25">
      <c r="A321" s="122">
        <f t="shared" si="42"/>
        <v>304</v>
      </c>
      <c r="B321" s="62">
        <f t="shared" si="43"/>
        <v>304</v>
      </c>
      <c r="C321" s="62" t="s">
        <v>56</v>
      </c>
      <c r="D321" s="62" t="s">
        <v>221</v>
      </c>
      <c r="E321" s="123" t="s">
        <v>117</v>
      </c>
      <c r="F321" s="123"/>
      <c r="G321" s="123" t="s">
        <v>96</v>
      </c>
      <c r="H321" s="123" t="s">
        <v>98</v>
      </c>
      <c r="I321" s="123" t="s">
        <v>98</v>
      </c>
      <c r="J321" s="64">
        <v>473.3</v>
      </c>
      <c r="K321" s="64">
        <v>439.1</v>
      </c>
      <c r="L321" s="64">
        <v>0</v>
      </c>
      <c r="M321" s="124">
        <v>9</v>
      </c>
      <c r="N321" s="95">
        <f t="shared" si="47"/>
        <v>325345.75</v>
      </c>
      <c r="O321" s="64">
        <v>0</v>
      </c>
      <c r="P321" s="64">
        <v>65069.15</v>
      </c>
      <c r="Q321" s="64"/>
      <c r="R321" s="64">
        <f>+'Приложение №4'!E316-'Приложение №3'!P321</f>
        <v>260276.6</v>
      </c>
      <c r="S321" s="64"/>
      <c r="T321" s="64"/>
      <c r="U321" s="64">
        <f t="shared" si="44"/>
        <v>740.93771350489635</v>
      </c>
      <c r="V321" s="64">
        <f t="shared" si="44"/>
        <v>740.93771350489635</v>
      </c>
      <c r="W321" s="163" t="s">
        <v>495</v>
      </c>
      <c r="X321" s="156" t="e">
        <f>+N321-#REF!</f>
        <v>#REF!</v>
      </c>
      <c r="Y321" s="153">
        <v>77305.740000000005</v>
      </c>
      <c r="Z321" s="153">
        <f>+(K321*9.1+L321*18.19)*12</f>
        <v>47949.72</v>
      </c>
      <c r="AB321" s="156" t="e">
        <f>+N321-#REF!</f>
        <v>#REF!</v>
      </c>
      <c r="AC321" s="164">
        <f>+N321-'[12]Приложение № 4'!E294</f>
        <v>0</v>
      </c>
      <c r="AE321" s="165" t="e">
        <f>+N321-#REF!</f>
        <v>#REF!</v>
      </c>
      <c r="AG321" s="3" t="s">
        <v>221</v>
      </c>
      <c r="AH321" s="4">
        <f t="shared" si="45"/>
        <v>264053.02735891199</v>
      </c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>
        <v>224021.23887571198</v>
      </c>
      <c r="AV321" s="4">
        <v>40031.788483199998</v>
      </c>
      <c r="AW321" s="4"/>
      <c r="AZ321" s="156">
        <f>+N321-'Приложение №4'!E316</f>
        <v>0</v>
      </c>
    </row>
    <row r="322" spans="1:52" ht="15" x14ac:dyDescent="0.25">
      <c r="A322" s="122">
        <f t="shared" si="42"/>
        <v>305</v>
      </c>
      <c r="B322" s="62">
        <f t="shared" si="43"/>
        <v>305</v>
      </c>
      <c r="C322" s="62" t="s">
        <v>536</v>
      </c>
      <c r="D322" s="62" t="s">
        <v>562</v>
      </c>
      <c r="E322" s="123">
        <v>1971</v>
      </c>
      <c r="F322" s="123">
        <v>1971</v>
      </c>
      <c r="G322" s="123" t="s">
        <v>48</v>
      </c>
      <c r="H322" s="123">
        <v>2</v>
      </c>
      <c r="I322" s="123">
        <v>1</v>
      </c>
      <c r="J322" s="64">
        <v>528</v>
      </c>
      <c r="K322" s="64">
        <v>486.3</v>
      </c>
      <c r="L322" s="64">
        <v>0</v>
      </c>
      <c r="M322" s="124">
        <v>41</v>
      </c>
      <c r="N322" s="95">
        <f t="shared" si="47"/>
        <v>193273.23000000004</v>
      </c>
      <c r="O322" s="64"/>
      <c r="P322" s="65"/>
      <c r="Q322" s="65"/>
      <c r="R322" s="64">
        <f>+'[12]Приложение № 4'!E295</f>
        <v>193273.23000000004</v>
      </c>
      <c r="S322" s="65"/>
      <c r="T322" s="65"/>
      <c r="U322" s="64">
        <f t="shared" si="44"/>
        <v>397.43621221468237</v>
      </c>
      <c r="V322" s="64">
        <f t="shared" si="44"/>
        <v>397.43621221468237</v>
      </c>
      <c r="W322" s="163" t="s">
        <v>495</v>
      </c>
      <c r="X322" s="157"/>
      <c r="Y322" s="158"/>
      <c r="Z322" s="158"/>
      <c r="AA322" s="158"/>
      <c r="AC322" s="164">
        <f>+N322-'[12]Приложение № 4'!E295</f>
        <v>0</v>
      </c>
      <c r="AZ322" s="156">
        <f>+N322-'Приложение №4'!E317</f>
        <v>0</v>
      </c>
    </row>
    <row r="323" spans="1:52" ht="15" x14ac:dyDescent="0.25">
      <c r="A323" s="122">
        <f t="shared" si="42"/>
        <v>306</v>
      </c>
      <c r="B323" s="62">
        <f t="shared" si="43"/>
        <v>306</v>
      </c>
      <c r="C323" s="62" t="s">
        <v>536</v>
      </c>
      <c r="D323" s="62" t="s">
        <v>563</v>
      </c>
      <c r="E323" s="123">
        <v>1978</v>
      </c>
      <c r="F323" s="123">
        <v>1978</v>
      </c>
      <c r="G323" s="123" t="s">
        <v>48</v>
      </c>
      <c r="H323" s="123">
        <v>2</v>
      </c>
      <c r="I323" s="123">
        <v>2</v>
      </c>
      <c r="J323" s="64">
        <v>522.4</v>
      </c>
      <c r="K323" s="64">
        <v>480.6</v>
      </c>
      <c r="L323" s="64">
        <v>0</v>
      </c>
      <c r="M323" s="124">
        <v>38</v>
      </c>
      <c r="N323" s="95">
        <f t="shared" si="47"/>
        <v>220690.63999999998</v>
      </c>
      <c r="O323" s="64"/>
      <c r="P323" s="65"/>
      <c r="Q323" s="65"/>
      <c r="R323" s="64">
        <f>+'[12]Приложение № 4'!E296</f>
        <v>220690.63999999998</v>
      </c>
      <c r="S323" s="65"/>
      <c r="T323" s="65"/>
      <c r="U323" s="64">
        <f t="shared" si="44"/>
        <v>459.19816895547228</v>
      </c>
      <c r="V323" s="64">
        <f t="shared" si="44"/>
        <v>459.19816895547228</v>
      </c>
      <c r="W323" s="163" t="s">
        <v>495</v>
      </c>
      <c r="X323" s="157"/>
      <c r="Y323" s="158"/>
      <c r="Z323" s="158"/>
      <c r="AA323" s="158"/>
      <c r="AC323" s="164">
        <f>+N323-'[12]Приложение № 4'!E296</f>
        <v>0</v>
      </c>
      <c r="AZ323" s="156">
        <f>+N323-'Приложение №4'!E318</f>
        <v>0</v>
      </c>
    </row>
    <row r="324" spans="1:52" ht="15" x14ac:dyDescent="0.25">
      <c r="A324" s="122">
        <f t="shared" si="42"/>
        <v>307</v>
      </c>
      <c r="B324" s="62">
        <f t="shared" si="43"/>
        <v>307</v>
      </c>
      <c r="C324" s="62" t="s">
        <v>538</v>
      </c>
      <c r="D324" s="62" t="s">
        <v>564</v>
      </c>
      <c r="E324" s="123">
        <v>1991</v>
      </c>
      <c r="F324" s="123">
        <v>1991</v>
      </c>
      <c r="G324" s="123" t="s">
        <v>48</v>
      </c>
      <c r="H324" s="123">
        <v>2</v>
      </c>
      <c r="I324" s="123">
        <v>1</v>
      </c>
      <c r="J324" s="64">
        <v>689.4</v>
      </c>
      <c r="K324" s="64">
        <v>582.4</v>
      </c>
      <c r="L324" s="64">
        <v>0</v>
      </c>
      <c r="M324" s="124">
        <v>20</v>
      </c>
      <c r="N324" s="95">
        <f t="shared" si="47"/>
        <v>71066.701252655272</v>
      </c>
      <c r="O324" s="64"/>
      <c r="P324" s="65"/>
      <c r="Q324" s="65"/>
      <c r="R324" s="64">
        <f>+'[12]Приложение № 4'!E297</f>
        <v>71066.701252655272</v>
      </c>
      <c r="S324" s="65"/>
      <c r="T324" s="65"/>
      <c r="U324" s="64">
        <f t="shared" si="44"/>
        <v>122.02386890909216</v>
      </c>
      <c r="V324" s="64">
        <f t="shared" si="44"/>
        <v>122.02386890909216</v>
      </c>
      <c r="W324" s="163" t="s">
        <v>495</v>
      </c>
      <c r="X324" s="157"/>
      <c r="Y324" s="158"/>
      <c r="Z324" s="158"/>
      <c r="AA324" s="158"/>
      <c r="AC324" s="164">
        <f>+N324-'[12]Приложение № 4'!E297</f>
        <v>0</v>
      </c>
      <c r="AZ324" s="156">
        <f>+N324-'Приложение №4'!E319</f>
        <v>0</v>
      </c>
    </row>
    <row r="325" spans="1:52" ht="15" x14ac:dyDescent="0.25">
      <c r="A325" s="122">
        <f t="shared" si="42"/>
        <v>308</v>
      </c>
      <c r="B325" s="62">
        <f t="shared" si="43"/>
        <v>308</v>
      </c>
      <c r="C325" s="62" t="s">
        <v>45</v>
      </c>
      <c r="D325" s="62" t="s">
        <v>404</v>
      </c>
      <c r="E325" s="123" t="s">
        <v>501</v>
      </c>
      <c r="F325" s="123"/>
      <c r="G325" s="123" t="s">
        <v>96</v>
      </c>
      <c r="H325" s="123" t="s">
        <v>101</v>
      </c>
      <c r="I325" s="123" t="s">
        <v>101</v>
      </c>
      <c r="J325" s="64">
        <v>977.7</v>
      </c>
      <c r="K325" s="64">
        <v>821.5</v>
      </c>
      <c r="L325" s="64">
        <v>156.19999999999999</v>
      </c>
      <c r="M325" s="124">
        <v>40</v>
      </c>
      <c r="N325" s="95">
        <f t="shared" si="47"/>
        <v>122177.85</v>
      </c>
      <c r="O325" s="64">
        <v>0</v>
      </c>
      <c r="P325" s="64"/>
      <c r="Q325" s="64"/>
      <c r="R325" s="64">
        <f>+'[12]Приложение № 4'!E298</f>
        <v>122177.85</v>
      </c>
      <c r="S325" s="64"/>
      <c r="T325" s="64"/>
      <c r="U325" s="64">
        <f t="shared" si="44"/>
        <v>124.96455968088371</v>
      </c>
      <c r="V325" s="64">
        <f t="shared" si="44"/>
        <v>124.96455968088371</v>
      </c>
      <c r="W325" s="163" t="s">
        <v>495</v>
      </c>
      <c r="X325" s="156" t="e">
        <f>+N325-#REF!</f>
        <v>#REF!</v>
      </c>
      <c r="Y325" s="153">
        <v>239696.68</v>
      </c>
      <c r="Z325" s="153">
        <f>+(K325*9.1+L325*18.19)*12</f>
        <v>123803.136</v>
      </c>
      <c r="AB325" s="156" t="e">
        <f>+N325-#REF!</f>
        <v>#REF!</v>
      </c>
      <c r="AC325" s="164">
        <f>+N325-'[12]Приложение № 4'!E298</f>
        <v>0</v>
      </c>
      <c r="AE325" s="165" t="e">
        <f>+N325-#REF!</f>
        <v>#REF!</v>
      </c>
      <c r="AG325" s="3" t="s">
        <v>404</v>
      </c>
      <c r="AH325" s="4">
        <f>SUM(AI325:AW325)</f>
        <v>122683.00992000001</v>
      </c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>
        <v>98683.009920000011</v>
      </c>
      <c r="AV325" s="4">
        <v>24000</v>
      </c>
      <c r="AW325" s="4"/>
      <c r="AZ325" s="156">
        <f>+N325-'Приложение №4'!E320</f>
        <v>0</v>
      </c>
    </row>
    <row r="326" spans="1:52" ht="15" x14ac:dyDescent="0.25">
      <c r="A326" s="122">
        <f t="shared" si="42"/>
        <v>309</v>
      </c>
      <c r="B326" s="62">
        <f t="shared" si="43"/>
        <v>309</v>
      </c>
      <c r="C326" s="62" t="s">
        <v>45</v>
      </c>
      <c r="D326" s="62" t="s">
        <v>405</v>
      </c>
      <c r="E326" s="123" t="s">
        <v>111</v>
      </c>
      <c r="F326" s="123"/>
      <c r="G326" s="123" t="s">
        <v>96</v>
      </c>
      <c r="H326" s="123" t="s">
        <v>105</v>
      </c>
      <c r="I326" s="123" t="s">
        <v>102</v>
      </c>
      <c r="J326" s="64">
        <v>1513.9</v>
      </c>
      <c r="K326" s="64">
        <v>1273.3</v>
      </c>
      <c r="L326" s="64">
        <v>109.8</v>
      </c>
      <c r="M326" s="124">
        <v>46</v>
      </c>
      <c r="N326" s="95">
        <f t="shared" si="47"/>
        <v>1068939.3299999998</v>
      </c>
      <c r="O326" s="64">
        <v>0</v>
      </c>
      <c r="P326" s="64"/>
      <c r="Q326" s="64"/>
      <c r="R326" s="64">
        <f>+'[12]Приложение № 4'!E299</f>
        <v>1068939.3299999998</v>
      </c>
      <c r="S326" s="64"/>
      <c r="T326" s="64"/>
      <c r="U326" s="64">
        <f t="shared" si="44"/>
        <v>772.857588026896</v>
      </c>
      <c r="V326" s="64">
        <f t="shared" si="44"/>
        <v>772.857588026896</v>
      </c>
      <c r="W326" s="163" t="s">
        <v>495</v>
      </c>
      <c r="X326" s="156" t="e">
        <f>+N326-#REF!</f>
        <v>#REF!</v>
      </c>
      <c r="Y326" s="153">
        <v>356713.45</v>
      </c>
      <c r="Z326" s="153">
        <f>+(K326*9.1+L326*18.19)*12</f>
        <v>163011.50399999999</v>
      </c>
      <c r="AB326" s="156" t="e">
        <f>+N326-#REF!</f>
        <v>#REF!</v>
      </c>
      <c r="AC326" s="164">
        <f>+N326-'[12]Приложение № 4'!E299</f>
        <v>0</v>
      </c>
      <c r="AE326" s="165" t="e">
        <f>+N326-#REF!</f>
        <v>#REF!</v>
      </c>
      <c r="AG326" s="3" t="s">
        <v>405</v>
      </c>
      <c r="AH326" s="4">
        <f>SUM(AI326:AW326)</f>
        <v>1074315.936074632</v>
      </c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>
        <v>1033029.189893032</v>
      </c>
      <c r="AV326" s="4">
        <v>41286.7461816</v>
      </c>
      <c r="AW326" s="4"/>
      <c r="AZ326" s="156">
        <f>+N326-'Приложение №4'!E321</f>
        <v>0</v>
      </c>
    </row>
    <row r="327" spans="1:52" ht="15" x14ac:dyDescent="0.25">
      <c r="A327" s="122">
        <f t="shared" si="42"/>
        <v>310</v>
      </c>
      <c r="B327" s="62">
        <f t="shared" si="43"/>
        <v>310</v>
      </c>
      <c r="C327" s="62" t="s">
        <v>45</v>
      </c>
      <c r="D327" s="62" t="s">
        <v>406</v>
      </c>
      <c r="E327" s="123" t="s">
        <v>113</v>
      </c>
      <c r="F327" s="123"/>
      <c r="G327" s="123" t="s">
        <v>96</v>
      </c>
      <c r="H327" s="123" t="s">
        <v>108</v>
      </c>
      <c r="I327" s="123" t="s">
        <v>105</v>
      </c>
      <c r="J327" s="64">
        <v>3387.5</v>
      </c>
      <c r="K327" s="64">
        <v>2883.4</v>
      </c>
      <c r="L327" s="64">
        <v>504.1</v>
      </c>
      <c r="M327" s="124">
        <v>108</v>
      </c>
      <c r="N327" s="95">
        <f t="shared" si="47"/>
        <v>1564470.2899999998</v>
      </c>
      <c r="O327" s="64">
        <v>0</v>
      </c>
      <c r="P327" s="64"/>
      <c r="Q327" s="64"/>
      <c r="R327" s="64">
        <f>+'[12]Приложение № 4'!E300</f>
        <v>1564470.2899999998</v>
      </c>
      <c r="S327" s="64"/>
      <c r="T327" s="64"/>
      <c r="U327" s="64">
        <f t="shared" si="44"/>
        <v>461.83624797047963</v>
      </c>
      <c r="V327" s="64">
        <f t="shared" si="44"/>
        <v>461.83624797047963</v>
      </c>
      <c r="W327" s="163" t="s">
        <v>495</v>
      </c>
      <c r="X327" s="156" t="e">
        <f>+N327-#REF!</f>
        <v>#REF!</v>
      </c>
      <c r="Y327" s="153">
        <v>1079298.32</v>
      </c>
      <c r="Z327" s="153">
        <f>+(K327*9.1+L327*18.19)*12</f>
        <v>424902.228</v>
      </c>
      <c r="AB327" s="156" t="e">
        <f>+N327-#REF!</f>
        <v>#REF!</v>
      </c>
      <c r="AC327" s="164">
        <f>+N327-'[12]Приложение № 4'!E300</f>
        <v>0</v>
      </c>
      <c r="AE327" s="165" t="e">
        <f>+N327-#REF!</f>
        <v>#REF!</v>
      </c>
      <c r="AG327" s="3" t="s">
        <v>406</v>
      </c>
      <c r="AH327" s="4">
        <f>SUM(AI327:AW327)</f>
        <v>1572396.5495708508</v>
      </c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>
        <v>1528627.3721708509</v>
      </c>
      <c r="AV327" s="4">
        <v>43769.1774</v>
      </c>
      <c r="AW327" s="4"/>
      <c r="AZ327" s="156">
        <f>+N327-'Приложение №4'!E322</f>
        <v>0</v>
      </c>
    </row>
    <row r="328" spans="1:52" ht="15" x14ac:dyDescent="0.25">
      <c r="A328" s="122">
        <f t="shared" si="42"/>
        <v>311</v>
      </c>
      <c r="B328" s="62">
        <f t="shared" si="43"/>
        <v>311</v>
      </c>
      <c r="C328" s="62" t="s">
        <v>45</v>
      </c>
      <c r="D328" s="62" t="s">
        <v>151</v>
      </c>
      <c r="E328" s="123" t="s">
        <v>112</v>
      </c>
      <c r="F328" s="123"/>
      <c r="G328" s="123" t="s">
        <v>96</v>
      </c>
      <c r="H328" s="123" t="s">
        <v>108</v>
      </c>
      <c r="I328" s="123" t="s">
        <v>105</v>
      </c>
      <c r="J328" s="64">
        <v>6010.4</v>
      </c>
      <c r="K328" s="64">
        <v>4154.3999999999996</v>
      </c>
      <c r="L328" s="64">
        <v>1856</v>
      </c>
      <c r="M328" s="124">
        <v>135</v>
      </c>
      <c r="N328" s="95">
        <f t="shared" si="47"/>
        <v>1865203.4000000004</v>
      </c>
      <c r="O328" s="64">
        <v>0</v>
      </c>
      <c r="P328" s="64"/>
      <c r="Q328" s="64"/>
      <c r="R328" s="64">
        <f>+'[12]Приложение № 4'!E301</f>
        <v>1865203.4000000004</v>
      </c>
      <c r="S328" s="64"/>
      <c r="T328" s="64"/>
      <c r="U328" s="64">
        <f t="shared" si="44"/>
        <v>310.32932916278457</v>
      </c>
      <c r="V328" s="64">
        <f t="shared" si="44"/>
        <v>310.32932916278457</v>
      </c>
      <c r="W328" s="163" t="s">
        <v>495</v>
      </c>
      <c r="X328" s="156" t="e">
        <f>+N328-#REF!</f>
        <v>#REF!</v>
      </c>
      <c r="Y328" s="153">
        <v>2132659.2599999998</v>
      </c>
      <c r="Z328" s="153">
        <f>+(K328*9.1+L328*18.19)*12</f>
        <v>858788.15999999992</v>
      </c>
      <c r="AB328" s="156" t="e">
        <f>+N328-#REF!</f>
        <v>#REF!</v>
      </c>
      <c r="AC328" s="164">
        <f>+N328-'[12]Приложение № 4'!E301</f>
        <v>0</v>
      </c>
      <c r="AE328" s="165" t="e">
        <f>+N328-#REF!</f>
        <v>#REF!</v>
      </c>
      <c r="AG328" s="3" t="s">
        <v>151</v>
      </c>
      <c r="AH328" s="4">
        <f>SUM(AI328:AW328)</f>
        <v>1539782.5259807999</v>
      </c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>
        <v>1495997.29</v>
      </c>
      <c r="AV328" s="4">
        <v>43785.235980799996</v>
      </c>
      <c r="AW328" s="4"/>
      <c r="AZ328" s="156">
        <f>+N328-'Приложение №4'!E323</f>
        <v>0</v>
      </c>
    </row>
    <row r="329" spans="1:52" ht="15" x14ac:dyDescent="0.25">
      <c r="A329" s="122">
        <f t="shared" si="42"/>
        <v>312</v>
      </c>
      <c r="B329" s="62">
        <f t="shared" si="43"/>
        <v>312</v>
      </c>
      <c r="C329" s="62" t="s">
        <v>45</v>
      </c>
      <c r="D329" s="62" t="s">
        <v>407</v>
      </c>
      <c r="E329" s="123" t="s">
        <v>514</v>
      </c>
      <c r="F329" s="123"/>
      <c r="G329" s="123" t="s">
        <v>96</v>
      </c>
      <c r="H329" s="123" t="s">
        <v>108</v>
      </c>
      <c r="I329" s="123" t="s">
        <v>105</v>
      </c>
      <c r="J329" s="64">
        <v>1881.6</v>
      </c>
      <c r="K329" s="64">
        <v>1701</v>
      </c>
      <c r="L329" s="64">
        <v>180.6</v>
      </c>
      <c r="M329" s="124">
        <v>76</v>
      </c>
      <c r="N329" s="95">
        <f t="shared" si="47"/>
        <v>1393697.61</v>
      </c>
      <c r="O329" s="64">
        <v>0</v>
      </c>
      <c r="P329" s="64"/>
      <c r="Q329" s="64"/>
      <c r="R329" s="64">
        <f>+'[12]Приложение № 4'!E302</f>
        <v>1393697.61</v>
      </c>
      <c r="S329" s="64"/>
      <c r="T329" s="64"/>
      <c r="U329" s="64">
        <f t="shared" si="44"/>
        <v>740.69813456632664</v>
      </c>
      <c r="V329" s="64">
        <f t="shared" si="44"/>
        <v>740.69813456632664</v>
      </c>
      <c r="W329" s="163" t="s">
        <v>495</v>
      </c>
      <c r="X329" s="156" t="e">
        <f>+N329-#REF!</f>
        <v>#REF!</v>
      </c>
      <c r="Y329" s="153">
        <v>491726.1</v>
      </c>
      <c r="Z329" s="153">
        <f>+(K329*9.1+L329*18.19)*12</f>
        <v>225170.568</v>
      </c>
      <c r="AB329" s="156" t="e">
        <f>+N329-#REF!</f>
        <v>#REF!</v>
      </c>
      <c r="AC329" s="164">
        <f>+N329-'[12]Приложение № 4'!E302</f>
        <v>0</v>
      </c>
      <c r="AE329" s="165" t="e">
        <f>+N329-#REF!</f>
        <v>#REF!</v>
      </c>
      <c r="AG329" s="3" t="s">
        <v>407</v>
      </c>
      <c r="AH329" s="4">
        <f>SUM(AI329:AW329)</f>
        <v>1400745.2039936571</v>
      </c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>
        <v>1359281.7883904572</v>
      </c>
      <c r="AV329" s="4">
        <v>41463.415603200003</v>
      </c>
      <c r="AW329" s="4"/>
      <c r="AZ329" s="156">
        <f>+N329-'Приложение №4'!E324</f>
        <v>0</v>
      </c>
    </row>
    <row r="330" spans="1:52" ht="15" x14ac:dyDescent="0.25">
      <c r="A330" s="122">
        <f t="shared" si="42"/>
        <v>313</v>
      </c>
      <c r="B330" s="62">
        <f t="shared" si="43"/>
        <v>313</v>
      </c>
      <c r="C330" s="62" t="s">
        <v>45</v>
      </c>
      <c r="D330" s="62" t="s">
        <v>255</v>
      </c>
      <c r="E330" s="123" t="s">
        <v>501</v>
      </c>
      <c r="F330" s="123"/>
      <c r="G330" s="123" t="s">
        <v>96</v>
      </c>
      <c r="H330" s="123" t="s">
        <v>101</v>
      </c>
      <c r="I330" s="123" t="s">
        <v>101</v>
      </c>
      <c r="J330" s="64">
        <v>1006.1</v>
      </c>
      <c r="K330" s="64">
        <v>851.2</v>
      </c>
      <c r="L330" s="64">
        <v>154.9</v>
      </c>
      <c r="M330" s="124">
        <v>38</v>
      </c>
      <c r="N330" s="95">
        <f t="shared" si="47"/>
        <v>806648.31</v>
      </c>
      <c r="O330" s="64">
        <v>0</v>
      </c>
      <c r="P330" s="64"/>
      <c r="Q330" s="64"/>
      <c r="R330" s="64">
        <f>+'[12]Приложение № 4'!E303</f>
        <v>806648.31</v>
      </c>
      <c r="S330" s="64"/>
      <c r="T330" s="64"/>
      <c r="U330" s="64">
        <f t="shared" si="44"/>
        <v>801.75758870887591</v>
      </c>
      <c r="V330" s="64">
        <f t="shared" si="44"/>
        <v>801.75758870887591</v>
      </c>
      <c r="W330" s="163" t="s">
        <v>495</v>
      </c>
      <c r="X330" s="156" t="e">
        <f>+N330-#REF!</f>
        <v>#REF!</v>
      </c>
      <c r="Y330" s="153">
        <v>309947.13</v>
      </c>
      <c r="Z330" s="153">
        <f t="shared" ref="Z330:Z334" si="48">+(K330*9.1+L330*18.19)*12</f>
        <v>126762.61199999999</v>
      </c>
      <c r="AB330" s="156" t="e">
        <f>+N330-#REF!</f>
        <v>#REF!</v>
      </c>
      <c r="AC330" s="164">
        <f>+N330-'[12]Приложение № 4'!E303</f>
        <v>0</v>
      </c>
      <c r="AE330" s="165" t="e">
        <f>+N330-#REF!</f>
        <v>#REF!</v>
      </c>
      <c r="AG330" s="3" t="s">
        <v>255</v>
      </c>
      <c r="AH330" s="4">
        <f t="shared" si="34"/>
        <v>810677.92805763206</v>
      </c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>
        <v>769870.37290723203</v>
      </c>
      <c r="AV330" s="4">
        <v>40807.555150400003</v>
      </c>
      <c r="AW330" s="4"/>
      <c r="AZ330" s="156">
        <f>+N330-'Приложение №4'!E325</f>
        <v>0</v>
      </c>
    </row>
    <row r="331" spans="1:52" ht="15" x14ac:dyDescent="0.25">
      <c r="A331" s="122">
        <f t="shared" si="42"/>
        <v>314</v>
      </c>
      <c r="B331" s="62">
        <f t="shared" si="43"/>
        <v>314</v>
      </c>
      <c r="C331" s="62" t="s">
        <v>45</v>
      </c>
      <c r="D331" s="62" t="s">
        <v>256</v>
      </c>
      <c r="E331" s="123" t="s">
        <v>124</v>
      </c>
      <c r="F331" s="123"/>
      <c r="G331" s="123" t="s">
        <v>96</v>
      </c>
      <c r="H331" s="123" t="s">
        <v>105</v>
      </c>
      <c r="I331" s="123" t="s">
        <v>101</v>
      </c>
      <c r="J331" s="64">
        <v>1349.4</v>
      </c>
      <c r="K331" s="64">
        <v>1213.5999999999999</v>
      </c>
      <c r="L331" s="64">
        <v>135.80000000000001</v>
      </c>
      <c r="M331" s="124">
        <v>40</v>
      </c>
      <c r="N331" s="95">
        <f t="shared" si="47"/>
        <v>1049040.8400000003</v>
      </c>
      <c r="O331" s="64">
        <v>0</v>
      </c>
      <c r="P331" s="64"/>
      <c r="Q331" s="64"/>
      <c r="R331" s="64">
        <f>+'[12]Приложение № 4'!E304</f>
        <v>1049040.8400000003</v>
      </c>
      <c r="S331" s="64"/>
      <c r="T331" s="64"/>
      <c r="U331" s="64">
        <f t="shared" si="44"/>
        <v>777.41280569141873</v>
      </c>
      <c r="V331" s="64">
        <f t="shared" si="44"/>
        <v>777.41280569141873</v>
      </c>
      <c r="W331" s="163" t="s">
        <v>495</v>
      </c>
      <c r="X331" s="156" t="e">
        <f>+N331-#REF!</f>
        <v>#REF!</v>
      </c>
      <c r="Y331" s="153">
        <v>316337.09000000003</v>
      </c>
      <c r="Z331" s="153">
        <f t="shared" si="48"/>
        <v>162167.54399999999</v>
      </c>
      <c r="AB331" s="156" t="e">
        <f>+N331-#REF!</f>
        <v>#REF!</v>
      </c>
      <c r="AC331" s="164">
        <f>+N331-'[12]Приложение № 4'!E304</f>
        <v>0</v>
      </c>
      <c r="AE331" s="165" t="e">
        <f>+N331-#REF!</f>
        <v>#REF!</v>
      </c>
      <c r="AG331" s="3" t="s">
        <v>256</v>
      </c>
      <c r="AH331" s="4">
        <f t="shared" si="34"/>
        <v>1054318.4541773621</v>
      </c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>
        <v>1013325.5615837621</v>
      </c>
      <c r="AV331" s="4">
        <v>40992.892593600001</v>
      </c>
      <c r="AW331" s="4"/>
      <c r="AZ331" s="156">
        <f>+N331-'Приложение №4'!E326</f>
        <v>0</v>
      </c>
    </row>
    <row r="332" spans="1:52" ht="15" x14ac:dyDescent="0.25">
      <c r="A332" s="122">
        <f t="shared" si="42"/>
        <v>315</v>
      </c>
      <c r="B332" s="62">
        <f t="shared" si="43"/>
        <v>315</v>
      </c>
      <c r="C332" s="62" t="s">
        <v>45</v>
      </c>
      <c r="D332" s="62" t="s">
        <v>257</v>
      </c>
      <c r="E332" s="123" t="s">
        <v>124</v>
      </c>
      <c r="F332" s="123"/>
      <c r="G332" s="123" t="s">
        <v>96</v>
      </c>
      <c r="H332" s="123" t="s">
        <v>105</v>
      </c>
      <c r="I332" s="123" t="s">
        <v>102</v>
      </c>
      <c r="J332" s="64">
        <v>1339.8</v>
      </c>
      <c r="K332" s="64">
        <v>1242.7</v>
      </c>
      <c r="L332" s="64">
        <v>97.1</v>
      </c>
      <c r="M332" s="124">
        <v>56</v>
      </c>
      <c r="N332" s="95">
        <f t="shared" si="47"/>
        <v>1047879.7699999999</v>
      </c>
      <c r="O332" s="64">
        <v>0</v>
      </c>
      <c r="P332" s="64"/>
      <c r="Q332" s="64"/>
      <c r="R332" s="64">
        <f>+'[12]Приложение № 4'!E305</f>
        <v>1047879.7699999999</v>
      </c>
      <c r="S332" s="64"/>
      <c r="T332" s="64"/>
      <c r="U332" s="64">
        <f t="shared" si="44"/>
        <v>782.11656217345865</v>
      </c>
      <c r="V332" s="64">
        <f t="shared" si="44"/>
        <v>782.11656217345865</v>
      </c>
      <c r="W332" s="163" t="s">
        <v>495</v>
      </c>
      <c r="X332" s="156" t="e">
        <f>+N332-#REF!</f>
        <v>#REF!</v>
      </c>
      <c r="Y332" s="153">
        <v>370870.91</v>
      </c>
      <c r="Z332" s="153">
        <f t="shared" si="48"/>
        <v>156897.82799999998</v>
      </c>
      <c r="AB332" s="156" t="e">
        <f>+N332-#REF!</f>
        <v>#REF!</v>
      </c>
      <c r="AC332" s="164">
        <f>+N332-'[12]Приложение № 4'!E305</f>
        <v>0</v>
      </c>
      <c r="AE332" s="165" t="e">
        <f>+N332-#REF!</f>
        <v>#REF!</v>
      </c>
      <c r="AG332" s="3" t="s">
        <v>257</v>
      </c>
      <c r="AH332" s="4">
        <f t="shared" si="34"/>
        <v>1053151.4278781898</v>
      </c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>
        <v>1012175.6841869899</v>
      </c>
      <c r="AV332" s="4">
        <v>40975.743691199998</v>
      </c>
      <c r="AW332" s="4"/>
      <c r="AZ332" s="156">
        <f>+N332-'Приложение №4'!E327</f>
        <v>0</v>
      </c>
    </row>
    <row r="333" spans="1:52" ht="15" x14ac:dyDescent="0.25">
      <c r="A333" s="122">
        <f t="shared" si="42"/>
        <v>316</v>
      </c>
      <c r="B333" s="62">
        <f t="shared" si="43"/>
        <v>316</v>
      </c>
      <c r="C333" s="62" t="s">
        <v>45</v>
      </c>
      <c r="D333" s="62" t="s">
        <v>258</v>
      </c>
      <c r="E333" s="123" t="s">
        <v>134</v>
      </c>
      <c r="F333" s="123"/>
      <c r="G333" s="123" t="s">
        <v>96</v>
      </c>
      <c r="H333" s="123" t="s">
        <v>105</v>
      </c>
      <c r="I333" s="123" t="s">
        <v>102</v>
      </c>
      <c r="J333" s="64">
        <v>1341.9</v>
      </c>
      <c r="K333" s="64">
        <v>1114.2</v>
      </c>
      <c r="L333" s="64">
        <v>227.7</v>
      </c>
      <c r="M333" s="124">
        <v>44</v>
      </c>
      <c r="N333" s="95">
        <f t="shared" si="47"/>
        <v>1048133.78</v>
      </c>
      <c r="O333" s="64">
        <v>0</v>
      </c>
      <c r="P333" s="64"/>
      <c r="Q333" s="64"/>
      <c r="R333" s="64">
        <f>+'[12]Приложение № 4'!E306</f>
        <v>1048133.78</v>
      </c>
      <c r="S333" s="64"/>
      <c r="T333" s="64"/>
      <c r="U333" s="64">
        <f t="shared" si="44"/>
        <v>781.08188389596842</v>
      </c>
      <c r="V333" s="64">
        <f t="shared" si="44"/>
        <v>781.08188389596842</v>
      </c>
      <c r="W333" s="163" t="s">
        <v>495</v>
      </c>
      <c r="X333" s="156" t="e">
        <f>+N333-#REF!</f>
        <v>#REF!</v>
      </c>
      <c r="Y333" s="153">
        <v>360789.23</v>
      </c>
      <c r="Z333" s="153">
        <f t="shared" si="48"/>
        <v>171372.99599999998</v>
      </c>
      <c r="AB333" s="156" t="e">
        <f>+N333-#REF!</f>
        <v>#REF!</v>
      </c>
      <c r="AC333" s="164">
        <f>+N333-'[12]Приложение № 4'!E306</f>
        <v>0</v>
      </c>
      <c r="AE333" s="165" t="e">
        <f>+N333-#REF!</f>
        <v>#REF!</v>
      </c>
      <c r="AG333" s="3" t="s">
        <v>258</v>
      </c>
      <c r="AH333" s="4">
        <f t="shared" si="34"/>
        <v>1053406.7148811338</v>
      </c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>
        <v>1012427.2198675337</v>
      </c>
      <c r="AV333" s="4">
        <v>40979.495013599997</v>
      </c>
      <c r="AW333" s="4"/>
      <c r="AZ333" s="156">
        <f>+N333-'Приложение №4'!E328</f>
        <v>0</v>
      </c>
    </row>
    <row r="334" spans="1:52" ht="15" x14ac:dyDescent="0.25">
      <c r="A334" s="122">
        <f t="shared" si="42"/>
        <v>317</v>
      </c>
      <c r="B334" s="62">
        <f t="shared" si="43"/>
        <v>317</v>
      </c>
      <c r="C334" s="62" t="s">
        <v>45</v>
      </c>
      <c r="D334" s="62" t="s">
        <v>259</v>
      </c>
      <c r="E334" s="123" t="s">
        <v>500</v>
      </c>
      <c r="F334" s="123"/>
      <c r="G334" s="123" t="s">
        <v>96</v>
      </c>
      <c r="H334" s="123" t="s">
        <v>105</v>
      </c>
      <c r="I334" s="123" t="s">
        <v>105</v>
      </c>
      <c r="J334" s="64">
        <v>1346</v>
      </c>
      <c r="K334" s="64">
        <v>1047.9000000000001</v>
      </c>
      <c r="L334" s="64">
        <v>298.10000000000002</v>
      </c>
      <c r="M334" s="124">
        <v>44</v>
      </c>
      <c r="N334" s="95">
        <f t="shared" si="47"/>
        <v>1048629.6599999999</v>
      </c>
      <c r="O334" s="64">
        <v>0</v>
      </c>
      <c r="P334" s="64"/>
      <c r="Q334" s="64"/>
      <c r="R334" s="64">
        <f>+'[12]Приложение № 4'!E307</f>
        <v>1048629.6599999999</v>
      </c>
      <c r="S334" s="64"/>
      <c r="T334" s="64"/>
      <c r="U334" s="64">
        <f t="shared" si="44"/>
        <v>779.07106983655274</v>
      </c>
      <c r="V334" s="64">
        <f t="shared" si="44"/>
        <v>779.07106983655274</v>
      </c>
      <c r="W334" s="163" t="s">
        <v>495</v>
      </c>
      <c r="X334" s="156" t="e">
        <f>+N334-#REF!</f>
        <v>#REF!</v>
      </c>
      <c r="Z334" s="153">
        <f t="shared" si="48"/>
        <v>179499.94800000003</v>
      </c>
      <c r="AB334" s="156" t="e">
        <f>+N334-#REF!</f>
        <v>#REF!</v>
      </c>
      <c r="AC334" s="164">
        <f>+N334-'[12]Приложение № 4'!E307</f>
        <v>0</v>
      </c>
      <c r="AE334" s="165" t="e">
        <f>+N334-#REF!</f>
        <v>#REF!</v>
      </c>
      <c r="AG334" s="3" t="s">
        <v>259</v>
      </c>
      <c r="AH334" s="4">
        <f t="shared" si="34"/>
        <v>1053905.1323630719</v>
      </c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>
        <v>1012918.3133390718</v>
      </c>
      <c r="AV334" s="4">
        <v>40986.819023999997</v>
      </c>
      <c r="AW334" s="4"/>
      <c r="AZ334" s="156">
        <f>+N334-'Приложение №4'!E329</f>
        <v>0</v>
      </c>
    </row>
    <row r="335" spans="1:52" ht="15" x14ac:dyDescent="0.25">
      <c r="A335" s="122">
        <f t="shared" si="42"/>
        <v>318</v>
      </c>
      <c r="B335" s="62">
        <f t="shared" si="43"/>
        <v>318</v>
      </c>
      <c r="C335" s="62" t="s">
        <v>537</v>
      </c>
      <c r="D335" s="62" t="s">
        <v>565</v>
      </c>
      <c r="E335" s="123">
        <v>1983</v>
      </c>
      <c r="F335" s="123">
        <v>2011</v>
      </c>
      <c r="G335" s="123" t="s">
        <v>43</v>
      </c>
      <c r="H335" s="123">
        <v>4</v>
      </c>
      <c r="I335" s="123">
        <v>4</v>
      </c>
      <c r="J335" s="64">
        <v>2773.4</v>
      </c>
      <c r="K335" s="64">
        <v>2633</v>
      </c>
      <c r="L335" s="64">
        <v>0</v>
      </c>
      <c r="M335" s="124">
        <v>98</v>
      </c>
      <c r="N335" s="95">
        <f>+P335+Q335+R335+S335+T335</f>
        <v>203293.58</v>
      </c>
      <c r="O335" s="64"/>
      <c r="P335" s="65"/>
      <c r="Q335" s="65"/>
      <c r="R335" s="64">
        <f>+'Приложение №4'!E330</f>
        <v>203293.58</v>
      </c>
      <c r="S335" s="65"/>
      <c r="T335" s="65"/>
      <c r="U335" s="64">
        <f t="shared" si="44"/>
        <v>77.209867071781233</v>
      </c>
      <c r="V335" s="64">
        <f t="shared" si="44"/>
        <v>77.209867071781233</v>
      </c>
      <c r="W335" s="163" t="s">
        <v>495</v>
      </c>
      <c r="X335" s="157"/>
      <c r="Y335" s="158"/>
      <c r="Z335" s="158"/>
      <c r="AA335" s="158"/>
      <c r="AC335" s="164">
        <f>+N335-'[12]Приложение № 4'!E308</f>
        <v>23999.999999999971</v>
      </c>
      <c r="AZ335" s="156">
        <f>+N335-'Приложение №4'!E330</f>
        <v>0</v>
      </c>
    </row>
    <row r="336" spans="1:52" ht="15" x14ac:dyDescent="0.25">
      <c r="A336" s="122">
        <f t="shared" si="42"/>
        <v>319</v>
      </c>
      <c r="B336" s="62">
        <f t="shared" si="43"/>
        <v>319</v>
      </c>
      <c r="C336" s="62" t="s">
        <v>46</v>
      </c>
      <c r="D336" s="62" t="s">
        <v>260</v>
      </c>
      <c r="E336" s="123" t="s">
        <v>103</v>
      </c>
      <c r="F336" s="123"/>
      <c r="G336" s="123" t="s">
        <v>99</v>
      </c>
      <c r="H336" s="123" t="s">
        <v>97</v>
      </c>
      <c r="I336" s="123" t="s">
        <v>98</v>
      </c>
      <c r="J336" s="64">
        <v>4698.7</v>
      </c>
      <c r="K336" s="64">
        <v>4085.6</v>
      </c>
      <c r="L336" s="64">
        <v>0</v>
      </c>
      <c r="M336" s="124">
        <v>152</v>
      </c>
      <c r="N336" s="95">
        <f t="shared" ref="N336:N399" si="49">+P336+Q336+R336+S336+T336</f>
        <v>403663.92</v>
      </c>
      <c r="O336" s="64">
        <v>0</v>
      </c>
      <c r="P336" s="64"/>
      <c r="Q336" s="64"/>
      <c r="R336" s="64">
        <f>+'[12]Приложение № 4'!E309</f>
        <v>403663.92</v>
      </c>
      <c r="S336" s="64"/>
      <c r="T336" s="64"/>
      <c r="U336" s="64">
        <f t="shared" si="44"/>
        <v>98.801625220285885</v>
      </c>
      <c r="V336" s="64">
        <f t="shared" si="44"/>
        <v>98.801625220285885</v>
      </c>
      <c r="W336" s="163" t="s">
        <v>495</v>
      </c>
      <c r="X336" s="156" t="e">
        <f>+N336-#REF!</f>
        <v>#REF!</v>
      </c>
      <c r="Y336" s="153">
        <v>1703986.46</v>
      </c>
      <c r="Z336" s="153">
        <f>+(K336*12.08+L336*20.47)*12</f>
        <v>592248.576</v>
      </c>
      <c r="AB336" s="156" t="e">
        <f>+N336-#REF!</f>
        <v>#REF!</v>
      </c>
      <c r="AC336" s="164">
        <f>+N336-'[12]Приложение № 4'!E309</f>
        <v>0</v>
      </c>
      <c r="AE336" s="165" t="e">
        <f>+N336-#REF!</f>
        <v>#REF!</v>
      </c>
      <c r="AG336" s="3" t="s">
        <v>260</v>
      </c>
      <c r="AH336" s="4">
        <f t="shared" si="34"/>
        <v>403663.92</v>
      </c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>
        <v>379663.92</v>
      </c>
      <c r="AV336" s="4">
        <v>24000</v>
      </c>
      <c r="AW336" s="4"/>
      <c r="AZ336" s="156">
        <f>+N336-'Приложение №4'!E331</f>
        <v>0</v>
      </c>
    </row>
    <row r="337" spans="1:52" ht="15" x14ac:dyDescent="0.25">
      <c r="A337" s="122">
        <f t="shared" si="42"/>
        <v>320</v>
      </c>
      <c r="B337" s="62">
        <f t="shared" si="43"/>
        <v>320</v>
      </c>
      <c r="C337" s="62" t="s">
        <v>46</v>
      </c>
      <c r="D337" s="62" t="s">
        <v>261</v>
      </c>
      <c r="E337" s="123" t="s">
        <v>117</v>
      </c>
      <c r="F337" s="123"/>
      <c r="G337" s="123" t="s">
        <v>96</v>
      </c>
      <c r="H337" s="123" t="s">
        <v>97</v>
      </c>
      <c r="I337" s="123" t="s">
        <v>102</v>
      </c>
      <c r="J337" s="64">
        <v>2145.6</v>
      </c>
      <c r="K337" s="64">
        <v>1881.11</v>
      </c>
      <c r="L337" s="64">
        <v>0</v>
      </c>
      <c r="M337" s="124">
        <v>77</v>
      </c>
      <c r="N337" s="95">
        <f t="shared" si="49"/>
        <v>826844.93</v>
      </c>
      <c r="O337" s="64">
        <v>0</v>
      </c>
      <c r="P337" s="64"/>
      <c r="Q337" s="64"/>
      <c r="R337" s="64">
        <f>+'[12]Приложение № 4'!E310</f>
        <v>826844.93</v>
      </c>
      <c r="S337" s="64"/>
      <c r="T337" s="64"/>
      <c r="U337" s="64">
        <f t="shared" si="44"/>
        <v>439.55161048529862</v>
      </c>
      <c r="V337" s="64">
        <f t="shared" si="44"/>
        <v>439.55161048529862</v>
      </c>
      <c r="W337" s="163" t="s">
        <v>495</v>
      </c>
      <c r="X337" s="156" t="e">
        <f>+N337-#REF!</f>
        <v>#REF!</v>
      </c>
      <c r="Y337" s="153">
        <v>694109.5</v>
      </c>
      <c r="Z337" s="153">
        <f>+(K337*12.08+L337*20.47)*12</f>
        <v>272685.70559999999</v>
      </c>
      <c r="AB337" s="156" t="e">
        <f>+N337-#REF!</f>
        <v>#REF!</v>
      </c>
      <c r="AC337" s="164">
        <f>+N337-'[12]Приложение № 4'!E310</f>
        <v>0</v>
      </c>
      <c r="AE337" s="165" t="e">
        <f>+N337-#REF!</f>
        <v>#REF!</v>
      </c>
      <c r="AG337" s="3" t="s">
        <v>261</v>
      </c>
      <c r="AH337" s="4">
        <f t="shared" si="34"/>
        <v>826844.93971705728</v>
      </c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>
        <v>785950.7043506573</v>
      </c>
      <c r="AV337" s="4">
        <v>40894.235366399997</v>
      </c>
      <c r="AW337" s="4"/>
      <c r="AZ337" s="156">
        <f>+N337-'Приложение №4'!E332</f>
        <v>0</v>
      </c>
    </row>
    <row r="338" spans="1:52" ht="15" x14ac:dyDescent="0.25">
      <c r="A338" s="122">
        <f t="shared" si="42"/>
        <v>321</v>
      </c>
      <c r="B338" s="62">
        <f t="shared" si="43"/>
        <v>321</v>
      </c>
      <c r="C338" s="62" t="s">
        <v>46</v>
      </c>
      <c r="D338" s="62" t="s">
        <v>262</v>
      </c>
      <c r="E338" s="123" t="s">
        <v>117</v>
      </c>
      <c r="F338" s="123"/>
      <c r="G338" s="123" t="s">
        <v>96</v>
      </c>
      <c r="H338" s="123" t="s">
        <v>97</v>
      </c>
      <c r="I338" s="123" t="s">
        <v>102</v>
      </c>
      <c r="J338" s="64">
        <v>2145.6</v>
      </c>
      <c r="K338" s="64">
        <v>1838.26</v>
      </c>
      <c r="L338" s="64">
        <v>161.5</v>
      </c>
      <c r="M338" s="124">
        <v>70</v>
      </c>
      <c r="N338" s="95">
        <f t="shared" si="49"/>
        <v>1817294.191355854</v>
      </c>
      <c r="O338" s="64">
        <v>0</v>
      </c>
      <c r="P338" s="64"/>
      <c r="Q338" s="64"/>
      <c r="R338" s="64">
        <f>+'[12]Приложение № 4'!E311</f>
        <v>1817294.191355854</v>
      </c>
      <c r="S338" s="64"/>
      <c r="T338" s="64"/>
      <c r="U338" s="64">
        <f t="shared" si="44"/>
        <v>908.75614641549691</v>
      </c>
      <c r="V338" s="64">
        <f t="shared" si="44"/>
        <v>908.75614641549691</v>
      </c>
      <c r="W338" s="163" t="s">
        <v>495</v>
      </c>
      <c r="X338" s="156" t="e">
        <f>+N338-#REF!</f>
        <v>#REF!</v>
      </c>
      <c r="Y338" s="153">
        <v>902189.41</v>
      </c>
      <c r="Z338" s="153">
        <f>+(K338*12.08+L338*20.47)*12</f>
        <v>306145.02959999995</v>
      </c>
      <c r="AB338" s="156" t="e">
        <f>+N338-#REF!</f>
        <v>#REF!</v>
      </c>
      <c r="AC338" s="164">
        <f>+N338-'[12]Приложение № 4'!E311</f>
        <v>0</v>
      </c>
      <c r="AE338" s="165" t="e">
        <f>+N338-#REF!</f>
        <v>#REF!</v>
      </c>
      <c r="AG338" s="3" t="s">
        <v>262</v>
      </c>
      <c r="AH338" s="4">
        <f t="shared" si="34"/>
        <v>1817294.191355854</v>
      </c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>
        <v>1776399.9559894539</v>
      </c>
      <c r="AV338" s="4">
        <v>40894.235366399997</v>
      </c>
      <c r="AW338" s="4"/>
      <c r="AZ338" s="156">
        <f>+N338-'Приложение №4'!E333</f>
        <v>0</v>
      </c>
    </row>
    <row r="339" spans="1:52" ht="15" x14ac:dyDescent="0.25">
      <c r="A339" s="122">
        <f t="shared" si="42"/>
        <v>322</v>
      </c>
      <c r="B339" s="62">
        <f t="shared" si="43"/>
        <v>322</v>
      </c>
      <c r="C339" s="62" t="s">
        <v>46</v>
      </c>
      <c r="D339" s="62" t="s">
        <v>263</v>
      </c>
      <c r="E339" s="123" t="s">
        <v>116</v>
      </c>
      <c r="F339" s="123"/>
      <c r="G339" s="123" t="s">
        <v>96</v>
      </c>
      <c r="H339" s="123" t="s">
        <v>97</v>
      </c>
      <c r="I339" s="123" t="s">
        <v>102</v>
      </c>
      <c r="J339" s="64">
        <v>2255.5</v>
      </c>
      <c r="K339" s="64">
        <v>1988.35</v>
      </c>
      <c r="L339" s="64">
        <v>0</v>
      </c>
      <c r="M339" s="124">
        <v>92</v>
      </c>
      <c r="N339" s="95">
        <f t="shared" si="49"/>
        <v>1811193.5735314607</v>
      </c>
      <c r="O339" s="64">
        <v>0</v>
      </c>
      <c r="P339" s="64"/>
      <c r="Q339" s="64"/>
      <c r="R339" s="64">
        <f>+'[12]Приложение № 4'!E312</f>
        <v>1811193.5735314607</v>
      </c>
      <c r="S339" s="64"/>
      <c r="T339" s="64"/>
      <c r="U339" s="64">
        <f t="shared" si="44"/>
        <v>910.90279554980805</v>
      </c>
      <c r="V339" s="64">
        <f t="shared" si="44"/>
        <v>910.90279554980805</v>
      </c>
      <c r="W339" s="163" t="s">
        <v>495</v>
      </c>
      <c r="X339" s="156" t="e">
        <f>+N339-#REF!</f>
        <v>#REF!</v>
      </c>
      <c r="Y339" s="153">
        <v>910724.97</v>
      </c>
      <c r="Z339" s="153">
        <f>+(K339*12.08+L339*20.47)*12</f>
        <v>288231.21600000001</v>
      </c>
      <c r="AB339" s="156" t="e">
        <f>+N339-#REF!</f>
        <v>#REF!</v>
      </c>
      <c r="AC339" s="164">
        <f>+N339-'[12]Приложение № 4'!E312</f>
        <v>0</v>
      </c>
      <c r="AE339" s="165" t="e">
        <f>+N339-#REF!</f>
        <v>#REF!</v>
      </c>
      <c r="AG339" s="3" t="s">
        <v>263</v>
      </c>
      <c r="AH339" s="4">
        <f t="shared" si="34"/>
        <v>1811193.5735314607</v>
      </c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>
        <v>1770180.9234061274</v>
      </c>
      <c r="AV339" s="4">
        <v>41012.650125333334</v>
      </c>
      <c r="AW339" s="4"/>
      <c r="AZ339" s="156">
        <f>+N339-'Приложение №4'!E334</f>
        <v>0</v>
      </c>
    </row>
    <row r="340" spans="1:52" ht="15" x14ac:dyDescent="0.25">
      <c r="A340" s="122">
        <f t="shared" ref="A340:A403" si="50">+A339+1</f>
        <v>323</v>
      </c>
      <c r="B340" s="62">
        <f t="shared" ref="B340:B403" si="51">+B339+1</f>
        <v>323</v>
      </c>
      <c r="C340" s="62" t="s">
        <v>46</v>
      </c>
      <c r="D340" s="62" t="s">
        <v>264</v>
      </c>
      <c r="E340" s="123" t="s">
        <v>503</v>
      </c>
      <c r="F340" s="123"/>
      <c r="G340" s="123" t="s">
        <v>96</v>
      </c>
      <c r="H340" s="123" t="s">
        <v>105</v>
      </c>
      <c r="I340" s="123" t="s">
        <v>105</v>
      </c>
      <c r="J340" s="64">
        <v>2529.1</v>
      </c>
      <c r="K340" s="64">
        <v>2239.8000000000002</v>
      </c>
      <c r="L340" s="64">
        <v>113.8</v>
      </c>
      <c r="M340" s="124">
        <v>104</v>
      </c>
      <c r="N340" s="95">
        <f t="shared" si="49"/>
        <v>504784.84</v>
      </c>
      <c r="O340" s="64">
        <v>0</v>
      </c>
      <c r="P340" s="64"/>
      <c r="Q340" s="64"/>
      <c r="R340" s="64">
        <f>+'[12]Приложение № 4'!E313</f>
        <v>504784.84</v>
      </c>
      <c r="S340" s="64"/>
      <c r="T340" s="64"/>
      <c r="U340" s="64">
        <f t="shared" si="44"/>
        <v>214.47350441876273</v>
      </c>
      <c r="V340" s="64">
        <f t="shared" si="44"/>
        <v>214.47350441876273</v>
      </c>
      <c r="W340" s="163" t="s">
        <v>495</v>
      </c>
      <c r="X340" s="156" t="e">
        <f>+N340-#REF!</f>
        <v>#REF!</v>
      </c>
      <c r="Y340" s="153">
        <v>915954.22</v>
      </c>
      <c r="Z340" s="153">
        <f>+(K340*9.1+L340*18.19)*12</f>
        <v>269426.424</v>
      </c>
      <c r="AB340" s="156" t="e">
        <f>+N340-#REF!</f>
        <v>#REF!</v>
      </c>
      <c r="AC340" s="164">
        <f>+N340-'[12]Приложение № 4'!E313</f>
        <v>0</v>
      </c>
      <c r="AE340" s="165" t="e">
        <f>+N340-#REF!</f>
        <v>#REF!</v>
      </c>
      <c r="AG340" s="3" t="s">
        <v>264</v>
      </c>
      <c r="AH340" s="4">
        <f t="shared" si="34"/>
        <v>504784.8319196126</v>
      </c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>
        <v>461684.58930921258</v>
      </c>
      <c r="AV340" s="4">
        <v>43100.242610400004</v>
      </c>
      <c r="AW340" s="4"/>
      <c r="AZ340" s="156">
        <f>+N340-'Приложение №4'!E335</f>
        <v>0</v>
      </c>
    </row>
    <row r="341" spans="1:52" ht="15" x14ac:dyDescent="0.25">
      <c r="A341" s="122">
        <f t="shared" si="50"/>
        <v>324</v>
      </c>
      <c r="B341" s="62">
        <f t="shared" si="51"/>
        <v>324</v>
      </c>
      <c r="C341" s="62" t="s">
        <v>46</v>
      </c>
      <c r="D341" s="62" t="s">
        <v>265</v>
      </c>
      <c r="E341" s="123" t="s">
        <v>502</v>
      </c>
      <c r="F341" s="123"/>
      <c r="G341" s="123" t="s">
        <v>96</v>
      </c>
      <c r="H341" s="123" t="s">
        <v>101</v>
      </c>
      <c r="I341" s="123" t="s">
        <v>101</v>
      </c>
      <c r="J341" s="64">
        <v>1753.5</v>
      </c>
      <c r="K341" s="64">
        <v>1219.5999999999999</v>
      </c>
      <c r="L341" s="64">
        <v>367.2</v>
      </c>
      <c r="M341" s="124">
        <v>37</v>
      </c>
      <c r="N341" s="95">
        <f t="shared" si="49"/>
        <v>181262.38999999998</v>
      </c>
      <c r="O341" s="64">
        <v>0</v>
      </c>
      <c r="P341" s="64"/>
      <c r="Q341" s="64"/>
      <c r="R341" s="64">
        <f>+'[12]Приложение № 4'!E314</f>
        <v>181262.38999999998</v>
      </c>
      <c r="S341" s="64"/>
      <c r="T341" s="64"/>
      <c r="U341" s="64">
        <f t="shared" si="44"/>
        <v>114.23140282329216</v>
      </c>
      <c r="V341" s="64">
        <f t="shared" si="44"/>
        <v>114.23140282329216</v>
      </c>
      <c r="W341" s="163" t="s">
        <v>495</v>
      </c>
      <c r="X341" s="156" t="e">
        <f>+N341-#REF!</f>
        <v>#REF!</v>
      </c>
      <c r="Y341" s="153">
        <v>835052.75</v>
      </c>
      <c r="Z341" s="153">
        <f>+(K341*9.1+L341*18.19)*12</f>
        <v>213332.73599999998</v>
      </c>
      <c r="AB341" s="156" t="e">
        <f>+N341-#REF!</f>
        <v>#REF!</v>
      </c>
      <c r="AC341" s="164">
        <f>+N341-'[12]Приложение № 4'!E314</f>
        <v>0</v>
      </c>
      <c r="AE341" s="165" t="e">
        <f>+N341-#REF!</f>
        <v>#REF!</v>
      </c>
      <c r="AG341" s="3" t="s">
        <v>265</v>
      </c>
      <c r="AH341" s="4">
        <f t="shared" si="34"/>
        <v>399905.82499069825</v>
      </c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>
        <v>357445.27216669824</v>
      </c>
      <c r="AV341" s="4">
        <v>42460.552823999999</v>
      </c>
      <c r="AW341" s="4"/>
      <c r="AZ341" s="156">
        <f>+N341-'Приложение №4'!E336</f>
        <v>0</v>
      </c>
    </row>
    <row r="342" spans="1:52" ht="15" x14ac:dyDescent="0.25">
      <c r="A342" s="122">
        <f t="shared" si="50"/>
        <v>325</v>
      </c>
      <c r="B342" s="62">
        <f t="shared" si="51"/>
        <v>325</v>
      </c>
      <c r="C342" s="62" t="s">
        <v>46</v>
      </c>
      <c r="D342" s="62" t="s">
        <v>266</v>
      </c>
      <c r="E342" s="123" t="s">
        <v>503</v>
      </c>
      <c r="F342" s="123"/>
      <c r="G342" s="123" t="s">
        <v>96</v>
      </c>
      <c r="H342" s="123" t="s">
        <v>105</v>
      </c>
      <c r="I342" s="123" t="s">
        <v>98</v>
      </c>
      <c r="J342" s="64">
        <v>1345.8</v>
      </c>
      <c r="K342" s="64">
        <v>1087.0999999999999</v>
      </c>
      <c r="L342" s="64">
        <v>112.8</v>
      </c>
      <c r="M342" s="124">
        <v>46</v>
      </c>
      <c r="N342" s="95">
        <f t="shared" si="49"/>
        <v>429328.74</v>
      </c>
      <c r="O342" s="64">
        <v>0</v>
      </c>
      <c r="P342" s="64"/>
      <c r="Q342" s="64"/>
      <c r="R342" s="64">
        <f>+'[12]Приложение № 4'!E315</f>
        <v>429328.74</v>
      </c>
      <c r="S342" s="64"/>
      <c r="T342" s="64"/>
      <c r="U342" s="64">
        <f t="shared" si="44"/>
        <v>357.80376698058177</v>
      </c>
      <c r="V342" s="64">
        <f t="shared" si="44"/>
        <v>357.80376698058177</v>
      </c>
      <c r="W342" s="163" t="s">
        <v>495</v>
      </c>
      <c r="X342" s="156" t="e">
        <f>+N342-#REF!</f>
        <v>#REF!</v>
      </c>
      <c r="Y342" s="153">
        <v>351890.82</v>
      </c>
      <c r="Z342" s="153">
        <f>+(K342*9.1+L342*18.19)*12</f>
        <v>143333.304</v>
      </c>
      <c r="AB342" s="156" t="e">
        <f>+N342-#REF!</f>
        <v>#REF!</v>
      </c>
      <c r="AC342" s="164">
        <f>+N342-'[12]Приложение № 4'!E315</f>
        <v>0</v>
      </c>
      <c r="AE342" s="165" t="e">
        <f>+N342-#REF!</f>
        <v>#REF!</v>
      </c>
      <c r="AG342" s="3" t="s">
        <v>266</v>
      </c>
      <c r="AH342" s="4">
        <f t="shared" si="34"/>
        <v>429328.74701523577</v>
      </c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>
        <v>388342.28526003577</v>
      </c>
      <c r="AV342" s="4">
        <v>40986.461755199998</v>
      </c>
      <c r="AW342" s="4"/>
      <c r="AZ342" s="156">
        <f>+N342-'Приложение №4'!E337</f>
        <v>0</v>
      </c>
    </row>
    <row r="343" spans="1:52" ht="15" x14ac:dyDescent="0.25">
      <c r="A343" s="122">
        <f t="shared" si="50"/>
        <v>326</v>
      </c>
      <c r="B343" s="62">
        <f t="shared" si="51"/>
        <v>326</v>
      </c>
      <c r="C343" s="62" t="s">
        <v>46</v>
      </c>
      <c r="D343" s="62" t="s">
        <v>267</v>
      </c>
      <c r="E343" s="123" t="s">
        <v>120</v>
      </c>
      <c r="F343" s="123"/>
      <c r="G343" s="123" t="s">
        <v>96</v>
      </c>
      <c r="H343" s="123" t="s">
        <v>97</v>
      </c>
      <c r="I343" s="123" t="s">
        <v>102</v>
      </c>
      <c r="J343" s="64">
        <v>2316.6999999999998</v>
      </c>
      <c r="K343" s="64">
        <v>2047.3</v>
      </c>
      <c r="L343" s="64">
        <v>0</v>
      </c>
      <c r="M343" s="124">
        <v>78</v>
      </c>
      <c r="N343" s="95">
        <f t="shared" si="49"/>
        <v>773009.77523200004</v>
      </c>
      <c r="O343" s="64">
        <v>0</v>
      </c>
      <c r="P343" s="64"/>
      <c r="Q343" s="64"/>
      <c r="R343" s="64">
        <f>+'[12]Приложение № 4'!E316</f>
        <v>773009.77523200004</v>
      </c>
      <c r="S343" s="64"/>
      <c r="T343" s="64"/>
      <c r="U343" s="64">
        <f t="shared" si="44"/>
        <v>377.57523334733554</v>
      </c>
      <c r="V343" s="64">
        <f t="shared" si="44"/>
        <v>377.57523334733554</v>
      </c>
      <c r="W343" s="163" t="s">
        <v>495</v>
      </c>
      <c r="X343" s="156" t="e">
        <f>+N343-#REF!</f>
        <v>#REF!</v>
      </c>
      <c r="Y343" s="153">
        <v>968521.06</v>
      </c>
      <c r="Z343" s="153">
        <f>+(K343*12.08+L343*20.47)*12</f>
        <v>296776.60800000001</v>
      </c>
      <c r="AB343" s="156" t="e">
        <f>+N343-#REF!</f>
        <v>#REF!</v>
      </c>
      <c r="AC343" s="164">
        <f>+N343-'[12]Приложение № 4'!E316</f>
        <v>0</v>
      </c>
      <c r="AE343" s="165" t="e">
        <f>+N343-#REF!</f>
        <v>#REF!</v>
      </c>
      <c r="AG343" s="3" t="s">
        <v>267</v>
      </c>
      <c r="AH343" s="4">
        <f t="shared" si="34"/>
        <v>468344.43093119992</v>
      </c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>
        <v>444344.43093119992</v>
      </c>
      <c r="AV343" s="4">
        <v>24000</v>
      </c>
      <c r="AW343" s="4"/>
      <c r="AZ343" s="156">
        <f>+N343-'Приложение №4'!E338</f>
        <v>0</v>
      </c>
    </row>
    <row r="344" spans="1:52" ht="15" x14ac:dyDescent="0.25">
      <c r="A344" s="122">
        <f t="shared" si="50"/>
        <v>327</v>
      </c>
      <c r="B344" s="62">
        <f t="shared" si="51"/>
        <v>327</v>
      </c>
      <c r="C344" s="62" t="s">
        <v>46</v>
      </c>
      <c r="D344" s="62" t="s">
        <v>268</v>
      </c>
      <c r="E344" s="123" t="s">
        <v>502</v>
      </c>
      <c r="F344" s="123"/>
      <c r="G344" s="123" t="s">
        <v>96</v>
      </c>
      <c r="H344" s="123" t="s">
        <v>101</v>
      </c>
      <c r="I344" s="123" t="s">
        <v>101</v>
      </c>
      <c r="J344" s="64">
        <v>1661.3</v>
      </c>
      <c r="K344" s="64">
        <v>1287.8</v>
      </c>
      <c r="L344" s="64">
        <v>254.55</v>
      </c>
      <c r="M344" s="124">
        <v>74</v>
      </c>
      <c r="N344" s="95">
        <f t="shared" si="49"/>
        <v>364412.2</v>
      </c>
      <c r="O344" s="64">
        <v>0</v>
      </c>
      <c r="P344" s="64"/>
      <c r="Q344" s="64"/>
      <c r="R344" s="64">
        <f>+'[12]Приложение № 4'!E317</f>
        <v>364412.2</v>
      </c>
      <c r="S344" s="64"/>
      <c r="T344" s="64"/>
      <c r="U344" s="64">
        <f t="shared" si="44"/>
        <v>236.27075566505658</v>
      </c>
      <c r="V344" s="64">
        <f t="shared" si="44"/>
        <v>236.27075566505658</v>
      </c>
      <c r="W344" s="163" t="s">
        <v>495</v>
      </c>
      <c r="X344" s="156" t="e">
        <f>+N344-#REF!</f>
        <v>#REF!</v>
      </c>
      <c r="Y344" s="153">
        <v>529235.47</v>
      </c>
      <c r="Z344" s="153">
        <f>+(K344*9.1+L344*18.19)*12</f>
        <v>196190.93400000001</v>
      </c>
      <c r="AB344" s="156" t="e">
        <f>+N344-#REF!</f>
        <v>#REF!</v>
      </c>
      <c r="AC344" s="164">
        <f>+N344-'[12]Приложение № 4'!E317</f>
        <v>0</v>
      </c>
      <c r="AE344" s="165" t="e">
        <f>+N344-#REF!</f>
        <v>#REF!</v>
      </c>
      <c r="AG344" s="3" t="s">
        <v>268</v>
      </c>
      <c r="AH344" s="4">
        <f t="shared" si="34"/>
        <v>364412.18740319996</v>
      </c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>
        <v>322155.55</v>
      </c>
      <c r="AV344" s="4">
        <v>42256.637403200002</v>
      </c>
      <c r="AW344" s="4"/>
      <c r="AZ344" s="156">
        <f>+N344-'Приложение №4'!E339</f>
        <v>0</v>
      </c>
    </row>
    <row r="345" spans="1:52" ht="15" x14ac:dyDescent="0.25">
      <c r="A345" s="122">
        <f t="shared" si="50"/>
        <v>328</v>
      </c>
      <c r="B345" s="62">
        <f t="shared" si="51"/>
        <v>328</v>
      </c>
      <c r="C345" s="62" t="s">
        <v>46</v>
      </c>
      <c r="D345" s="62" t="s">
        <v>269</v>
      </c>
      <c r="E345" s="123" t="s">
        <v>134</v>
      </c>
      <c r="F345" s="123"/>
      <c r="G345" s="123" t="s">
        <v>96</v>
      </c>
      <c r="H345" s="123" t="s">
        <v>105</v>
      </c>
      <c r="I345" s="123" t="s">
        <v>98</v>
      </c>
      <c r="J345" s="64">
        <v>1205.5999999999999</v>
      </c>
      <c r="K345" s="64">
        <v>1090.5</v>
      </c>
      <c r="L345" s="64">
        <v>0</v>
      </c>
      <c r="M345" s="124">
        <v>53</v>
      </c>
      <c r="N345" s="95">
        <f t="shared" si="49"/>
        <v>370434.04000000004</v>
      </c>
      <c r="O345" s="64">
        <v>0</v>
      </c>
      <c r="P345" s="64"/>
      <c r="Q345" s="64"/>
      <c r="R345" s="64">
        <f>+'[12]Приложение № 4'!E318</f>
        <v>370434.04000000004</v>
      </c>
      <c r="S345" s="64"/>
      <c r="T345" s="64"/>
      <c r="U345" s="64">
        <f t="shared" si="44"/>
        <v>339.69192113709312</v>
      </c>
      <c r="V345" s="64">
        <f t="shared" si="44"/>
        <v>339.69192113709312</v>
      </c>
      <c r="W345" s="163" t="s">
        <v>495</v>
      </c>
      <c r="X345" s="156" t="e">
        <f>+N345-#REF!</f>
        <v>#REF!</v>
      </c>
      <c r="Y345" s="153">
        <v>667148.47</v>
      </c>
      <c r="Z345" s="153">
        <f>+(K345*9.1+L345*18.19)*12</f>
        <v>119082.59999999999</v>
      </c>
      <c r="AB345" s="156" t="e">
        <f>+N345-#REF!</f>
        <v>#REF!</v>
      </c>
      <c r="AC345" s="164">
        <f>+N345-'[12]Приложение № 4'!E318</f>
        <v>0</v>
      </c>
      <c r="AE345" s="165" t="e">
        <f>+N345-#REF!</f>
        <v>#REF!</v>
      </c>
      <c r="AG345" s="3" t="s">
        <v>269</v>
      </c>
      <c r="AH345" s="4">
        <f t="shared" si="34"/>
        <v>602325.60183440591</v>
      </c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>
        <v>561206.75412536587</v>
      </c>
      <c r="AV345" s="4">
        <v>41118.847709039997</v>
      </c>
      <c r="AW345" s="4"/>
      <c r="AZ345" s="156">
        <f>+N345-'Приложение №4'!E340</f>
        <v>0</v>
      </c>
    </row>
    <row r="346" spans="1:52" ht="15" x14ac:dyDescent="0.25">
      <c r="A346" s="122">
        <f t="shared" si="50"/>
        <v>329</v>
      </c>
      <c r="B346" s="62">
        <f t="shared" si="51"/>
        <v>329</v>
      </c>
      <c r="C346" s="62" t="s">
        <v>46</v>
      </c>
      <c r="D346" s="62" t="s">
        <v>270</v>
      </c>
      <c r="E346" s="123" t="s">
        <v>500</v>
      </c>
      <c r="F346" s="123"/>
      <c r="G346" s="123" t="s">
        <v>96</v>
      </c>
      <c r="H346" s="123" t="s">
        <v>105</v>
      </c>
      <c r="I346" s="123" t="s">
        <v>98</v>
      </c>
      <c r="J346" s="64">
        <v>1375</v>
      </c>
      <c r="K346" s="64">
        <v>1259.4000000000001</v>
      </c>
      <c r="L346" s="64">
        <v>0</v>
      </c>
      <c r="M346" s="124">
        <v>53</v>
      </c>
      <c r="N346" s="95">
        <f t="shared" si="49"/>
        <v>188929.96000000002</v>
      </c>
      <c r="O346" s="64">
        <v>0</v>
      </c>
      <c r="P346" s="64"/>
      <c r="Q346" s="64"/>
      <c r="R346" s="64">
        <f>+'[12]Приложение № 4'!E319</f>
        <v>188929.96000000002</v>
      </c>
      <c r="S346" s="64"/>
      <c r="T346" s="64"/>
      <c r="U346" s="64">
        <f t="shared" si="44"/>
        <v>150.01584881689695</v>
      </c>
      <c r="V346" s="64">
        <f t="shared" si="44"/>
        <v>150.01584881689695</v>
      </c>
      <c r="W346" s="163" t="s">
        <v>495</v>
      </c>
      <c r="X346" s="156" t="e">
        <f>+N346-#REF!</f>
        <v>#REF!</v>
      </c>
      <c r="Y346" s="153">
        <v>487766.21</v>
      </c>
      <c r="Z346" s="153">
        <f>+(K346*9.1+L346*18.19)*12</f>
        <v>137526.48000000001</v>
      </c>
      <c r="AB346" s="156" t="e">
        <f>+N346-#REF!</f>
        <v>#REF!</v>
      </c>
      <c r="AC346" s="164">
        <f>+N346-'[12]Приложение № 4'!E319</f>
        <v>0</v>
      </c>
      <c r="AE346" s="165" t="e">
        <f>+N346-#REF!</f>
        <v>#REF!</v>
      </c>
      <c r="AG346" s="3" t="s">
        <v>270</v>
      </c>
      <c r="AH346" s="4">
        <f t="shared" si="34"/>
        <v>420661.13113005471</v>
      </c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>
        <v>379622.50813005469</v>
      </c>
      <c r="AV346" s="4">
        <v>41038.623</v>
      </c>
      <c r="AW346" s="4"/>
      <c r="AZ346" s="156">
        <f>+N346-'Приложение №4'!E341</f>
        <v>0</v>
      </c>
    </row>
    <row r="347" spans="1:52" ht="15" x14ac:dyDescent="0.25">
      <c r="A347" s="122">
        <f t="shared" si="50"/>
        <v>330</v>
      </c>
      <c r="B347" s="62">
        <f t="shared" si="51"/>
        <v>330</v>
      </c>
      <c r="C347" s="62" t="s">
        <v>46</v>
      </c>
      <c r="D347" s="62" t="s">
        <v>271</v>
      </c>
      <c r="E347" s="123" t="s">
        <v>124</v>
      </c>
      <c r="F347" s="123"/>
      <c r="G347" s="123" t="s">
        <v>96</v>
      </c>
      <c r="H347" s="123" t="s">
        <v>105</v>
      </c>
      <c r="I347" s="123" t="s">
        <v>98</v>
      </c>
      <c r="J347" s="64">
        <v>1403.6</v>
      </c>
      <c r="K347" s="64">
        <v>1213.5</v>
      </c>
      <c r="L347" s="64">
        <v>42.7</v>
      </c>
      <c r="M347" s="124">
        <v>67</v>
      </c>
      <c r="N347" s="95">
        <f t="shared" si="49"/>
        <v>189106.75999999998</v>
      </c>
      <c r="O347" s="64">
        <v>0</v>
      </c>
      <c r="P347" s="64"/>
      <c r="Q347" s="64"/>
      <c r="R347" s="64">
        <f>+'[12]Приложение № 4'!E320</f>
        <v>189106.75999999998</v>
      </c>
      <c r="S347" s="64"/>
      <c r="T347" s="64"/>
      <c r="U347" s="64">
        <f t="shared" si="44"/>
        <v>150.53873587008437</v>
      </c>
      <c r="V347" s="64">
        <f t="shared" si="44"/>
        <v>150.53873587008437</v>
      </c>
      <c r="W347" s="163" t="s">
        <v>495</v>
      </c>
      <c r="X347" s="156" t="e">
        <f>+N347-#REF!</f>
        <v>#REF!</v>
      </c>
      <c r="Y347" s="153">
        <v>448918.89</v>
      </c>
      <c r="Z347" s="153">
        <f>+(K347*9.1+L347*18.19)*12</f>
        <v>141834.75599999999</v>
      </c>
      <c r="AB347" s="156" t="e">
        <f>+N347-#REF!</f>
        <v>#REF!</v>
      </c>
      <c r="AC347" s="164">
        <f>+N347-'[12]Приложение № 4'!E320</f>
        <v>0</v>
      </c>
      <c r="AE347" s="165" t="e">
        <f>+N347-#REF!</f>
        <v>#REF!</v>
      </c>
      <c r="AG347" s="3" t="s">
        <v>271</v>
      </c>
      <c r="AH347" s="4">
        <f t="shared" si="34"/>
        <v>421045.4983579953</v>
      </c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>
        <v>379955.78591959528</v>
      </c>
      <c r="AV347" s="4">
        <v>41089.712438400005</v>
      </c>
      <c r="AW347" s="4"/>
      <c r="AZ347" s="156">
        <f>+N347-'Приложение №4'!E342</f>
        <v>0</v>
      </c>
    </row>
    <row r="348" spans="1:52" ht="15" x14ac:dyDescent="0.25">
      <c r="A348" s="122">
        <f t="shared" si="50"/>
        <v>331</v>
      </c>
      <c r="B348" s="62">
        <f t="shared" si="51"/>
        <v>331</v>
      </c>
      <c r="C348" s="62" t="s">
        <v>46</v>
      </c>
      <c r="D348" s="62" t="s">
        <v>272</v>
      </c>
      <c r="E348" s="123" t="s">
        <v>124</v>
      </c>
      <c r="F348" s="123"/>
      <c r="G348" s="123" t="s">
        <v>96</v>
      </c>
      <c r="H348" s="123" t="s">
        <v>105</v>
      </c>
      <c r="I348" s="123" t="s">
        <v>102</v>
      </c>
      <c r="J348" s="64">
        <v>2344</v>
      </c>
      <c r="K348" s="64">
        <v>1517.7</v>
      </c>
      <c r="L348" s="64">
        <v>471.8</v>
      </c>
      <c r="M348" s="124">
        <v>68</v>
      </c>
      <c r="N348" s="95">
        <f t="shared" si="49"/>
        <v>471293.04</v>
      </c>
      <c r="O348" s="64">
        <v>0</v>
      </c>
      <c r="P348" s="64"/>
      <c r="Q348" s="64"/>
      <c r="R348" s="64">
        <f>+'[12]Приложение № 4'!E321</f>
        <v>471293.04</v>
      </c>
      <c r="S348" s="64"/>
      <c r="T348" s="64"/>
      <c r="U348" s="64">
        <f t="shared" si="44"/>
        <v>236.89019351595877</v>
      </c>
      <c r="V348" s="64">
        <f t="shared" si="44"/>
        <v>236.89019351595877</v>
      </c>
      <c r="W348" s="163" t="s">
        <v>495</v>
      </c>
      <c r="X348" s="156" t="e">
        <f>+N348-#REF!</f>
        <v>#REF!</v>
      </c>
      <c r="Y348" s="153">
        <v>949723.23</v>
      </c>
      <c r="Z348" s="153">
        <f t="shared" ref="Z348:Z353" si="52">+(K348*9.1+L348*18.19)*12</f>
        <v>268717.34400000004</v>
      </c>
      <c r="AB348" s="156" t="e">
        <f>+N348-#REF!</f>
        <v>#REF!</v>
      </c>
      <c r="AC348" s="164">
        <f>+N348-'[12]Приложение № 4'!E321</f>
        <v>0</v>
      </c>
      <c r="AE348" s="165" t="e">
        <f>+N348-#REF!</f>
        <v>#REF!</v>
      </c>
      <c r="AG348" s="3" t="s">
        <v>272</v>
      </c>
      <c r="AH348" s="4">
        <f t="shared" si="34"/>
        <v>471293.03958592203</v>
      </c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>
        <v>428523.44924992201</v>
      </c>
      <c r="AV348" s="4">
        <v>42769.590335999994</v>
      </c>
      <c r="AW348" s="4"/>
      <c r="AZ348" s="156">
        <f>+N348-'Приложение №4'!E343</f>
        <v>0</v>
      </c>
    </row>
    <row r="349" spans="1:52" ht="15" x14ac:dyDescent="0.25">
      <c r="A349" s="122">
        <f t="shared" si="50"/>
        <v>332</v>
      </c>
      <c r="B349" s="62">
        <f t="shared" si="51"/>
        <v>332</v>
      </c>
      <c r="C349" s="62" t="s">
        <v>46</v>
      </c>
      <c r="D349" s="62" t="s">
        <v>273</v>
      </c>
      <c r="E349" s="123" t="s">
        <v>115</v>
      </c>
      <c r="F349" s="123"/>
      <c r="G349" s="123" t="s">
        <v>96</v>
      </c>
      <c r="H349" s="123" t="s">
        <v>105</v>
      </c>
      <c r="I349" s="123" t="s">
        <v>98</v>
      </c>
      <c r="J349" s="64">
        <v>1403.6</v>
      </c>
      <c r="K349" s="64">
        <v>1283.1500000000001</v>
      </c>
      <c r="L349" s="64">
        <v>0</v>
      </c>
      <c r="M349" s="124">
        <v>53</v>
      </c>
      <c r="N349" s="95">
        <f t="shared" si="49"/>
        <v>420969.74</v>
      </c>
      <c r="O349" s="64">
        <v>0</v>
      </c>
      <c r="P349" s="64"/>
      <c r="Q349" s="64"/>
      <c r="R349" s="64">
        <f>+'[12]Приложение № 4'!E322</f>
        <v>420969.74</v>
      </c>
      <c r="S349" s="64"/>
      <c r="T349" s="64"/>
      <c r="U349" s="64">
        <f t="shared" si="44"/>
        <v>328.07523672212909</v>
      </c>
      <c r="V349" s="64">
        <f t="shared" si="44"/>
        <v>328.07523672212909</v>
      </c>
      <c r="W349" s="163" t="s">
        <v>495</v>
      </c>
      <c r="X349" s="156" t="e">
        <f>+N349-#REF!</f>
        <v>#REF!</v>
      </c>
      <c r="Y349" s="153">
        <v>451942.8</v>
      </c>
      <c r="Z349" s="153">
        <f t="shared" si="52"/>
        <v>140119.98000000001</v>
      </c>
      <c r="AB349" s="156" t="e">
        <f>+N349-#REF!</f>
        <v>#REF!</v>
      </c>
      <c r="AC349" s="164">
        <f>+N349-'[12]Приложение № 4'!E322</f>
        <v>0</v>
      </c>
      <c r="AE349" s="165" t="e">
        <f>+N349-#REF!</f>
        <v>#REF!</v>
      </c>
      <c r="AG349" s="3" t="s">
        <v>273</v>
      </c>
      <c r="AH349" s="4">
        <f t="shared" si="34"/>
        <v>420969.75340582698</v>
      </c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>
        <v>379880.04096742696</v>
      </c>
      <c r="AV349" s="4">
        <v>41089.712438400005</v>
      </c>
      <c r="AW349" s="4"/>
      <c r="AZ349" s="156">
        <f>+N349-'Приложение №4'!E344</f>
        <v>0</v>
      </c>
    </row>
    <row r="350" spans="1:52" ht="15" x14ac:dyDescent="0.25">
      <c r="A350" s="122">
        <f t="shared" si="50"/>
        <v>333</v>
      </c>
      <c r="B350" s="62">
        <f t="shared" si="51"/>
        <v>333</v>
      </c>
      <c r="C350" s="62" t="s">
        <v>46</v>
      </c>
      <c r="D350" s="62" t="s">
        <v>274</v>
      </c>
      <c r="E350" s="123" t="s">
        <v>115</v>
      </c>
      <c r="F350" s="123"/>
      <c r="G350" s="123" t="s">
        <v>96</v>
      </c>
      <c r="H350" s="123" t="s">
        <v>105</v>
      </c>
      <c r="I350" s="123" t="s">
        <v>98</v>
      </c>
      <c r="J350" s="64">
        <v>1397.9</v>
      </c>
      <c r="K350" s="64">
        <v>1279</v>
      </c>
      <c r="L350" s="64">
        <v>0</v>
      </c>
      <c r="M350" s="124">
        <v>70</v>
      </c>
      <c r="N350" s="95">
        <f t="shared" si="49"/>
        <v>422368.42000000004</v>
      </c>
      <c r="O350" s="64">
        <v>0</v>
      </c>
      <c r="P350" s="64"/>
      <c r="Q350" s="64"/>
      <c r="R350" s="64">
        <f>+'[12]Приложение № 4'!E323</f>
        <v>422368.42000000004</v>
      </c>
      <c r="S350" s="64"/>
      <c r="T350" s="64"/>
      <c r="U350" s="64">
        <f t="shared" si="44"/>
        <v>330.23332290852233</v>
      </c>
      <c r="V350" s="64">
        <f t="shared" si="44"/>
        <v>330.23332290852233</v>
      </c>
      <c r="W350" s="163" t="s">
        <v>495</v>
      </c>
      <c r="X350" s="156" t="e">
        <f>+N350-#REF!</f>
        <v>#REF!</v>
      </c>
      <c r="Y350" s="153">
        <v>432717.56</v>
      </c>
      <c r="Z350" s="153">
        <f t="shared" si="52"/>
        <v>139666.79999999999</v>
      </c>
      <c r="AB350" s="156" t="e">
        <f>+N350-#REF!</f>
        <v>#REF!</v>
      </c>
      <c r="AC350" s="164">
        <f>+N350-'[12]Приложение № 4'!E323</f>
        <v>0</v>
      </c>
      <c r="AE350" s="165" t="e">
        <f>+N350-#REF!</f>
        <v>#REF!</v>
      </c>
      <c r="AG350" s="3" t="s">
        <v>274</v>
      </c>
      <c r="AH350" s="4">
        <f t="shared" si="34"/>
        <v>422368.42735535774</v>
      </c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>
        <v>381288.89707775775</v>
      </c>
      <c r="AV350" s="4">
        <v>41079.530277600003</v>
      </c>
      <c r="AW350" s="4"/>
      <c r="AZ350" s="156">
        <f>+N350-'Приложение №4'!E345</f>
        <v>0</v>
      </c>
    </row>
    <row r="351" spans="1:52" ht="15" x14ac:dyDescent="0.25">
      <c r="A351" s="122">
        <f t="shared" si="50"/>
        <v>334</v>
      </c>
      <c r="B351" s="62">
        <f t="shared" si="51"/>
        <v>334</v>
      </c>
      <c r="C351" s="62" t="s">
        <v>46</v>
      </c>
      <c r="D351" s="62" t="s">
        <v>275</v>
      </c>
      <c r="E351" s="123" t="s">
        <v>115</v>
      </c>
      <c r="F351" s="123"/>
      <c r="G351" s="123" t="s">
        <v>96</v>
      </c>
      <c r="H351" s="123" t="s">
        <v>105</v>
      </c>
      <c r="I351" s="123" t="s">
        <v>98</v>
      </c>
      <c r="J351" s="64">
        <v>1401</v>
      </c>
      <c r="K351" s="64">
        <v>1278.8</v>
      </c>
      <c r="L351" s="64">
        <v>0</v>
      </c>
      <c r="M351" s="124">
        <v>66</v>
      </c>
      <c r="N351" s="95">
        <f t="shared" si="49"/>
        <v>421146.89999999997</v>
      </c>
      <c r="O351" s="64">
        <v>0</v>
      </c>
      <c r="P351" s="64"/>
      <c r="Q351" s="64"/>
      <c r="R351" s="64">
        <f>+'[12]Приложение № 4'!E324</f>
        <v>421146.89999999997</v>
      </c>
      <c r="S351" s="64"/>
      <c r="T351" s="64"/>
      <c r="U351" s="64">
        <f t="shared" si="44"/>
        <v>329.32976227713482</v>
      </c>
      <c r="V351" s="64">
        <f t="shared" si="44"/>
        <v>329.32976227713482</v>
      </c>
      <c r="W351" s="163" t="s">
        <v>495</v>
      </c>
      <c r="X351" s="156" t="e">
        <f>+N351-#REF!</f>
        <v>#REF!</v>
      </c>
      <c r="Y351" s="153">
        <v>504363.2</v>
      </c>
      <c r="Z351" s="153">
        <f t="shared" si="52"/>
        <v>139644.96</v>
      </c>
      <c r="AB351" s="156" t="e">
        <f>+N351-#REF!</f>
        <v>#REF!</v>
      </c>
      <c r="AC351" s="164">
        <f>+N351-'[12]Приложение № 4'!E324</f>
        <v>0</v>
      </c>
      <c r="AE351" s="165" t="e">
        <f>+N351-#REF!</f>
        <v>#REF!</v>
      </c>
      <c r="AG351" s="3" t="s">
        <v>275</v>
      </c>
      <c r="AH351" s="4">
        <f t="shared" si="34"/>
        <v>421146.89679663093</v>
      </c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>
        <v>380061.82885263092</v>
      </c>
      <c r="AV351" s="4">
        <v>41085.067943999995</v>
      </c>
      <c r="AW351" s="4"/>
      <c r="AZ351" s="156">
        <f>+N351-'Приложение №4'!E346</f>
        <v>0</v>
      </c>
    </row>
    <row r="352" spans="1:52" ht="15" x14ac:dyDescent="0.25">
      <c r="A352" s="122">
        <f t="shared" si="50"/>
        <v>335</v>
      </c>
      <c r="B352" s="62">
        <f t="shared" si="51"/>
        <v>335</v>
      </c>
      <c r="C352" s="62" t="s">
        <v>46</v>
      </c>
      <c r="D352" s="62" t="s">
        <v>276</v>
      </c>
      <c r="E352" s="123" t="s">
        <v>115</v>
      </c>
      <c r="F352" s="123"/>
      <c r="G352" s="123" t="s">
        <v>96</v>
      </c>
      <c r="H352" s="123" t="s">
        <v>105</v>
      </c>
      <c r="I352" s="123" t="s">
        <v>98</v>
      </c>
      <c r="J352" s="64">
        <v>1391.9</v>
      </c>
      <c r="K352" s="64">
        <v>1292.4000000000001</v>
      </c>
      <c r="L352" s="64">
        <v>0</v>
      </c>
      <c r="M352" s="124">
        <v>56</v>
      </c>
      <c r="N352" s="95">
        <f t="shared" si="49"/>
        <v>420842.81</v>
      </c>
      <c r="O352" s="64">
        <v>0</v>
      </c>
      <c r="P352" s="64"/>
      <c r="Q352" s="64"/>
      <c r="R352" s="64">
        <f>+'[12]Приложение № 4'!E325</f>
        <v>420842.81</v>
      </c>
      <c r="S352" s="64"/>
      <c r="T352" s="64"/>
      <c r="U352" s="64">
        <f t="shared" si="44"/>
        <v>325.62891519653357</v>
      </c>
      <c r="V352" s="64">
        <f t="shared" si="44"/>
        <v>325.62891519653357</v>
      </c>
      <c r="W352" s="163" t="s">
        <v>495</v>
      </c>
      <c r="X352" s="156" t="e">
        <f>+N352-#REF!</f>
        <v>#REF!</v>
      </c>
      <c r="Y352" s="153">
        <v>470165.94</v>
      </c>
      <c r="Z352" s="153">
        <f t="shared" si="52"/>
        <v>141130.08000000002</v>
      </c>
      <c r="AB352" s="156" t="e">
        <f>+N352-#REF!</f>
        <v>#REF!</v>
      </c>
      <c r="AC352" s="164">
        <f>+N352-'[12]Приложение № 4'!E325</f>
        <v>0</v>
      </c>
      <c r="AE352" s="165" t="e">
        <f>+N352-#REF!</f>
        <v>#REF!</v>
      </c>
      <c r="AG352" s="3" t="s">
        <v>276</v>
      </c>
      <c r="AH352" s="4">
        <f t="shared" si="34"/>
        <v>420842.81024799123</v>
      </c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>
        <v>379773.99803439126</v>
      </c>
      <c r="AV352" s="4">
        <v>41068.812213600002</v>
      </c>
      <c r="AW352" s="4"/>
      <c r="AZ352" s="156">
        <f>+N352-'Приложение №4'!E347</f>
        <v>0</v>
      </c>
    </row>
    <row r="353" spans="1:52" ht="15" x14ac:dyDescent="0.25">
      <c r="A353" s="122">
        <f t="shared" si="50"/>
        <v>336</v>
      </c>
      <c r="B353" s="62">
        <f t="shared" si="51"/>
        <v>336</v>
      </c>
      <c r="C353" s="62" t="s">
        <v>46</v>
      </c>
      <c r="D353" s="62" t="s">
        <v>277</v>
      </c>
      <c r="E353" s="123" t="s">
        <v>115</v>
      </c>
      <c r="F353" s="123"/>
      <c r="G353" s="123" t="s">
        <v>96</v>
      </c>
      <c r="H353" s="123" t="s">
        <v>105</v>
      </c>
      <c r="I353" s="123" t="s">
        <v>101</v>
      </c>
      <c r="J353" s="64">
        <v>2337.1999999999998</v>
      </c>
      <c r="K353" s="64">
        <v>1992.27</v>
      </c>
      <c r="L353" s="64">
        <v>45.7</v>
      </c>
      <c r="M353" s="124">
        <v>101</v>
      </c>
      <c r="N353" s="95">
        <f t="shared" si="49"/>
        <v>474068.29999999993</v>
      </c>
      <c r="O353" s="64">
        <v>0</v>
      </c>
      <c r="P353" s="64"/>
      <c r="Q353" s="64"/>
      <c r="R353" s="64">
        <f>+'[12]Приложение № 4'!E326</f>
        <v>474068.29999999993</v>
      </c>
      <c r="S353" s="64"/>
      <c r="T353" s="64"/>
      <c r="U353" s="64">
        <f t="shared" si="44"/>
        <v>232.61789918399188</v>
      </c>
      <c r="V353" s="64">
        <f t="shared" si="44"/>
        <v>232.61789918399188</v>
      </c>
      <c r="W353" s="163" t="s">
        <v>495</v>
      </c>
      <c r="X353" s="156" t="e">
        <f>+N353-#REF!</f>
        <v>#REF!</v>
      </c>
      <c r="Y353" s="153">
        <v>764482.88</v>
      </c>
      <c r="Z353" s="153">
        <f t="shared" si="52"/>
        <v>227531.27999999997</v>
      </c>
      <c r="AB353" s="156" t="e">
        <f>+N353-#REF!</f>
        <v>#REF!</v>
      </c>
      <c r="AC353" s="164">
        <f>+N353-'[12]Приложение № 4'!E326</f>
        <v>0</v>
      </c>
      <c r="AE353" s="165" t="e">
        <f>+N353-#REF!</f>
        <v>#REF!</v>
      </c>
      <c r="AG353" s="3" t="s">
        <v>277</v>
      </c>
      <c r="AH353" s="4">
        <f t="shared" si="34"/>
        <v>474068.30668651633</v>
      </c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>
        <v>431310.86348971631</v>
      </c>
      <c r="AV353" s="4">
        <v>42757.443196799999</v>
      </c>
      <c r="AW353" s="4"/>
      <c r="AZ353" s="156">
        <f>+N353-'Приложение №4'!E348</f>
        <v>0</v>
      </c>
    </row>
    <row r="354" spans="1:52" ht="15" x14ac:dyDescent="0.25">
      <c r="A354" s="122">
        <f t="shared" si="50"/>
        <v>337</v>
      </c>
      <c r="B354" s="62">
        <f t="shared" si="51"/>
        <v>337</v>
      </c>
      <c r="C354" s="62" t="s">
        <v>46</v>
      </c>
      <c r="D354" s="62" t="s">
        <v>278</v>
      </c>
      <c r="E354" s="123" t="s">
        <v>500</v>
      </c>
      <c r="F354" s="123"/>
      <c r="G354" s="123" t="s">
        <v>96</v>
      </c>
      <c r="H354" s="123" t="s">
        <v>105</v>
      </c>
      <c r="I354" s="123" t="s">
        <v>98</v>
      </c>
      <c r="J354" s="64">
        <v>1404.7</v>
      </c>
      <c r="K354" s="64">
        <v>948.8</v>
      </c>
      <c r="L354" s="64">
        <v>348.8</v>
      </c>
      <c r="M354" s="124">
        <v>39</v>
      </c>
      <c r="N354" s="95">
        <f t="shared" si="49"/>
        <v>187169.13</v>
      </c>
      <c r="O354" s="64">
        <v>0</v>
      </c>
      <c r="P354" s="64"/>
      <c r="Q354" s="64"/>
      <c r="R354" s="64">
        <f>+'[12]Приложение № 4'!E327</f>
        <v>187169.13</v>
      </c>
      <c r="S354" s="64"/>
      <c r="T354" s="64"/>
      <c r="U354" s="64">
        <f t="shared" ref="U354:V417" si="53">$N354/($K354+$L354)</f>
        <v>144.2425477805179</v>
      </c>
      <c r="V354" s="64">
        <f t="shared" si="53"/>
        <v>144.2425477805179</v>
      </c>
      <c r="W354" s="163" t="s">
        <v>495</v>
      </c>
      <c r="X354" s="156" t="e">
        <f>+N354-#REF!</f>
        <v>#REF!</v>
      </c>
      <c r="Y354" s="153">
        <v>320497.94</v>
      </c>
      <c r="Z354" s="153">
        <f>+(K354*9.1+L354*18.19)*12</f>
        <v>179745.024</v>
      </c>
      <c r="AB354" s="156" t="e">
        <f>+N354-#REF!</f>
        <v>#REF!</v>
      </c>
      <c r="AC354" s="164">
        <f>+N354-'[12]Приложение № 4'!E327</f>
        <v>0</v>
      </c>
      <c r="AE354" s="165" t="e">
        <f>+N354-#REF!</f>
        <v>#REF!</v>
      </c>
      <c r="AG354" s="3" t="s">
        <v>278</v>
      </c>
      <c r="AH354" s="4">
        <f t="shared" si="34"/>
        <v>416376.97071903053</v>
      </c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>
        <v>375285.29330223054</v>
      </c>
      <c r="AV354" s="4">
        <v>41091.677416799997</v>
      </c>
      <c r="AW354" s="4"/>
      <c r="AZ354" s="156">
        <f>+N354-'Приложение №4'!E349</f>
        <v>0</v>
      </c>
    </row>
    <row r="355" spans="1:52" ht="15" x14ac:dyDescent="0.25">
      <c r="A355" s="122">
        <f t="shared" si="50"/>
        <v>338</v>
      </c>
      <c r="B355" s="62">
        <f t="shared" si="51"/>
        <v>338</v>
      </c>
      <c r="C355" s="62" t="s">
        <v>46</v>
      </c>
      <c r="D355" s="62" t="s">
        <v>279</v>
      </c>
      <c r="E355" s="123" t="s">
        <v>500</v>
      </c>
      <c r="F355" s="123"/>
      <c r="G355" s="123" t="s">
        <v>96</v>
      </c>
      <c r="H355" s="123" t="s">
        <v>105</v>
      </c>
      <c r="I355" s="123" t="s">
        <v>98</v>
      </c>
      <c r="J355" s="64">
        <v>1374</v>
      </c>
      <c r="K355" s="64">
        <v>1179.99</v>
      </c>
      <c r="L355" s="64">
        <v>72.599999999999994</v>
      </c>
      <c r="M355" s="124">
        <v>60</v>
      </c>
      <c r="N355" s="95">
        <f t="shared" si="49"/>
        <v>422492.39</v>
      </c>
      <c r="O355" s="64">
        <v>0</v>
      </c>
      <c r="P355" s="64"/>
      <c r="Q355" s="64"/>
      <c r="R355" s="64">
        <f>+'[12]Приложение № 4'!E328</f>
        <v>422492.39</v>
      </c>
      <c r="S355" s="64"/>
      <c r="T355" s="64"/>
      <c r="U355" s="64">
        <f t="shared" si="53"/>
        <v>337.29503668399082</v>
      </c>
      <c r="V355" s="64">
        <f t="shared" si="53"/>
        <v>337.29503668399082</v>
      </c>
      <c r="W355" s="163" t="s">
        <v>495</v>
      </c>
      <c r="X355" s="156" t="e">
        <f>+N355-#REF!</f>
        <v>#REF!</v>
      </c>
      <c r="Y355" s="153">
        <v>412714.17</v>
      </c>
      <c r="Z355" s="153">
        <f>+(K355*9.1+L355*18.19)*12</f>
        <v>144702.03600000002</v>
      </c>
      <c r="AB355" s="156" t="e">
        <f>+N355-#REF!</f>
        <v>#REF!</v>
      </c>
      <c r="AC355" s="164">
        <f>+N355-'[12]Приложение № 4'!E328</f>
        <v>0</v>
      </c>
      <c r="AE355" s="165" t="e">
        <f>+N355-#REF!</f>
        <v>#REF!</v>
      </c>
      <c r="AG355" s="3" t="s">
        <v>279</v>
      </c>
      <c r="AH355" s="4">
        <f t="shared" si="34"/>
        <v>422492.3726285281</v>
      </c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>
        <v>381455.5359725281</v>
      </c>
      <c r="AV355" s="4">
        <v>41036.836655999999</v>
      </c>
      <c r="AW355" s="4"/>
      <c r="AZ355" s="156">
        <f>+N355-'Приложение №4'!E350</f>
        <v>0</v>
      </c>
    </row>
    <row r="356" spans="1:52" ht="15" x14ac:dyDescent="0.25">
      <c r="A356" s="122">
        <f t="shared" si="50"/>
        <v>339</v>
      </c>
      <c r="B356" s="62">
        <f t="shared" si="51"/>
        <v>339</v>
      </c>
      <c r="C356" s="62" t="s">
        <v>46</v>
      </c>
      <c r="D356" s="62" t="s">
        <v>280</v>
      </c>
      <c r="E356" s="123" t="s">
        <v>503</v>
      </c>
      <c r="F356" s="123"/>
      <c r="G356" s="123" t="s">
        <v>96</v>
      </c>
      <c r="H356" s="123" t="s">
        <v>105</v>
      </c>
      <c r="I356" s="123" t="s">
        <v>98</v>
      </c>
      <c r="J356" s="64">
        <v>1327.8</v>
      </c>
      <c r="K356" s="64">
        <v>1087.8</v>
      </c>
      <c r="L356" s="64">
        <v>116.8</v>
      </c>
      <c r="M356" s="124">
        <v>51</v>
      </c>
      <c r="N356" s="95">
        <f t="shared" si="49"/>
        <v>409879.29560779349</v>
      </c>
      <c r="O356" s="64">
        <v>0</v>
      </c>
      <c r="P356" s="64"/>
      <c r="Q356" s="64"/>
      <c r="R356" s="64">
        <f>+'[12]Приложение № 4'!E329</f>
        <v>409879.29560779349</v>
      </c>
      <c r="S356" s="64"/>
      <c r="T356" s="64"/>
      <c r="U356" s="64">
        <f t="shared" si="53"/>
        <v>340.2617429916931</v>
      </c>
      <c r="V356" s="64">
        <f t="shared" si="53"/>
        <v>340.2617429916931</v>
      </c>
      <c r="W356" s="163" t="s">
        <v>495</v>
      </c>
      <c r="X356" s="156" t="e">
        <f>+N356-#REF!</f>
        <v>#REF!</v>
      </c>
      <c r="Y356" s="153">
        <v>421908.85</v>
      </c>
      <c r="Z356" s="153">
        <f>+(K356*9.1+L356*18.19)*12</f>
        <v>144282.864</v>
      </c>
      <c r="AB356" s="156" t="e">
        <f>+N356-#REF!</f>
        <v>#REF!</v>
      </c>
      <c r="AC356" s="164">
        <f>+N356-'[12]Приложение № 4'!E329</f>
        <v>0</v>
      </c>
      <c r="AE356" s="165" t="e">
        <f>+N356-#REF!</f>
        <v>#REF!</v>
      </c>
      <c r="AG356" s="3" t="s">
        <v>280</v>
      </c>
      <c r="AH356" s="4">
        <f t="shared" si="34"/>
        <v>423879.29560779349</v>
      </c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>
        <v>382924.98804459348</v>
      </c>
      <c r="AV356" s="4">
        <v>40954.307563199996</v>
      </c>
      <c r="AW356" s="4"/>
      <c r="AZ356" s="156">
        <f>+N356-'Приложение №4'!E351</f>
        <v>0</v>
      </c>
    </row>
    <row r="357" spans="1:52" ht="15" x14ac:dyDescent="0.25">
      <c r="A357" s="122">
        <f t="shared" si="50"/>
        <v>340</v>
      </c>
      <c r="B357" s="62">
        <f t="shared" si="51"/>
        <v>340</v>
      </c>
      <c r="C357" s="62" t="s">
        <v>46</v>
      </c>
      <c r="D357" s="62" t="s">
        <v>281</v>
      </c>
      <c r="E357" s="123" t="s">
        <v>503</v>
      </c>
      <c r="F357" s="123"/>
      <c r="G357" s="123" t="s">
        <v>96</v>
      </c>
      <c r="H357" s="123" t="s">
        <v>105</v>
      </c>
      <c r="I357" s="123" t="s">
        <v>98</v>
      </c>
      <c r="J357" s="64">
        <v>1377</v>
      </c>
      <c r="K357" s="64">
        <v>1273.2</v>
      </c>
      <c r="L357" s="64">
        <v>0</v>
      </c>
      <c r="M357" s="124">
        <v>50</v>
      </c>
      <c r="N357" s="95">
        <f t="shared" si="49"/>
        <v>408815.86045963498</v>
      </c>
      <c r="O357" s="64">
        <v>0</v>
      </c>
      <c r="P357" s="64"/>
      <c r="Q357" s="64"/>
      <c r="R357" s="64">
        <f>+'[12]Приложение № 4'!E330</f>
        <v>408815.86045963498</v>
      </c>
      <c r="S357" s="64"/>
      <c r="T357" s="64"/>
      <c r="U357" s="64">
        <f t="shared" si="53"/>
        <v>321.09319860166113</v>
      </c>
      <c r="V357" s="64">
        <f t="shared" si="53"/>
        <v>321.09319860166113</v>
      </c>
      <c r="W357" s="163" t="s">
        <v>495</v>
      </c>
      <c r="X357" s="156" t="e">
        <f>+N357-#REF!</f>
        <v>#REF!</v>
      </c>
      <c r="Y357" s="153">
        <v>482364.72</v>
      </c>
      <c r="Z357" s="153">
        <f>+(K357*9.1+L357*18.19)*12</f>
        <v>139033.44</v>
      </c>
      <c r="AB357" s="156" t="e">
        <f>+N357-#REF!</f>
        <v>#REF!</v>
      </c>
      <c r="AC357" s="164">
        <f>+N357-'[12]Приложение № 4'!E330</f>
        <v>0</v>
      </c>
      <c r="AE357" s="165" t="e">
        <f>+N357-#REF!</f>
        <v>#REF!</v>
      </c>
      <c r="AG357" s="3" t="s">
        <v>281</v>
      </c>
      <c r="AH357" s="4">
        <f t="shared" si="34"/>
        <v>422815.86045963498</v>
      </c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>
        <v>381773.66477163497</v>
      </c>
      <c r="AV357" s="4">
        <v>41042.195688</v>
      </c>
      <c r="AW357" s="4"/>
      <c r="AZ357" s="156">
        <f>+N357-'Приложение №4'!E352</f>
        <v>0</v>
      </c>
    </row>
    <row r="358" spans="1:52" ht="15" x14ac:dyDescent="0.25">
      <c r="A358" s="122">
        <f t="shared" si="50"/>
        <v>341</v>
      </c>
      <c r="B358" s="62">
        <f t="shared" si="51"/>
        <v>341</v>
      </c>
      <c r="C358" s="62" t="s">
        <v>46</v>
      </c>
      <c r="D358" s="62" t="s">
        <v>282</v>
      </c>
      <c r="E358" s="123" t="s">
        <v>121</v>
      </c>
      <c r="F358" s="123"/>
      <c r="G358" s="123" t="s">
        <v>96</v>
      </c>
      <c r="H358" s="123" t="s">
        <v>97</v>
      </c>
      <c r="I358" s="123" t="s">
        <v>102</v>
      </c>
      <c r="J358" s="64">
        <v>2270.9</v>
      </c>
      <c r="K358" s="64">
        <v>1830.2</v>
      </c>
      <c r="L358" s="64">
        <v>178.8</v>
      </c>
      <c r="M358" s="124">
        <v>79</v>
      </c>
      <c r="N358" s="95">
        <f t="shared" si="49"/>
        <v>2172802.8698562942</v>
      </c>
      <c r="O358" s="64">
        <v>0</v>
      </c>
      <c r="P358" s="64"/>
      <c r="Q358" s="64"/>
      <c r="R358" s="64">
        <f>+'[12]Приложение № 4'!E331</f>
        <v>2172802.8698562942</v>
      </c>
      <c r="S358" s="64"/>
      <c r="T358" s="64"/>
      <c r="U358" s="64">
        <f t="shared" si="53"/>
        <v>1081.5345295451937</v>
      </c>
      <c r="V358" s="64">
        <f t="shared" si="53"/>
        <v>1081.5345295451937</v>
      </c>
      <c r="W358" s="163" t="s">
        <v>495</v>
      </c>
      <c r="X358" s="156" t="e">
        <f>+N358-#REF!</f>
        <v>#REF!</v>
      </c>
      <c r="Y358" s="153">
        <v>982760.79</v>
      </c>
      <c r="Z358" s="153">
        <f>+(K358*12.08+L358*20.47)*12</f>
        <v>309226.22399999999</v>
      </c>
      <c r="AB358" s="156" t="e">
        <f>+N358-#REF!</f>
        <v>#REF!</v>
      </c>
      <c r="AC358" s="164">
        <f>+N358-'[12]Приложение № 4'!E331</f>
        <v>0</v>
      </c>
      <c r="AE358" s="165" t="e">
        <f>+N358-#REF!</f>
        <v>#REF!</v>
      </c>
      <c r="AG358" s="3" t="s">
        <v>282</v>
      </c>
      <c r="AH358" s="4">
        <f t="shared" si="34"/>
        <v>2184802.8698562942</v>
      </c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>
        <v>2143773.6265800274</v>
      </c>
      <c r="AV358" s="4">
        <v>41029.243276266665</v>
      </c>
      <c r="AW358" s="4"/>
      <c r="AZ358" s="156">
        <f>+N358-'Приложение №4'!E353</f>
        <v>0</v>
      </c>
    </row>
    <row r="359" spans="1:52" ht="15" x14ac:dyDescent="0.25">
      <c r="A359" s="122">
        <f t="shared" si="50"/>
        <v>342</v>
      </c>
      <c r="B359" s="62">
        <f t="shared" si="51"/>
        <v>342</v>
      </c>
      <c r="C359" s="62" t="s">
        <v>46</v>
      </c>
      <c r="D359" s="62" t="s">
        <v>408</v>
      </c>
      <c r="E359" s="123" t="s">
        <v>134</v>
      </c>
      <c r="F359" s="123"/>
      <c r="G359" s="123" t="s">
        <v>96</v>
      </c>
      <c r="H359" s="123" t="s">
        <v>105</v>
      </c>
      <c r="I359" s="123" t="s">
        <v>109</v>
      </c>
      <c r="J359" s="64">
        <v>4690.3</v>
      </c>
      <c r="K359" s="64">
        <v>3385.09</v>
      </c>
      <c r="L359" s="64">
        <v>991.41</v>
      </c>
      <c r="M359" s="124">
        <v>166</v>
      </c>
      <c r="N359" s="95">
        <f t="shared" si="49"/>
        <v>934622.45</v>
      </c>
      <c r="O359" s="64">
        <v>0</v>
      </c>
      <c r="P359" s="64"/>
      <c r="Q359" s="64"/>
      <c r="R359" s="64">
        <f>+'[12]Приложение № 4'!E332</f>
        <v>934622.45</v>
      </c>
      <c r="S359" s="64"/>
      <c r="T359" s="64"/>
      <c r="U359" s="64">
        <f t="shared" si="53"/>
        <v>213.55476979321375</v>
      </c>
      <c r="V359" s="64">
        <f t="shared" si="53"/>
        <v>213.55476979321375</v>
      </c>
      <c r="W359" s="163" t="s">
        <v>495</v>
      </c>
      <c r="X359" s="156" t="e">
        <f>+N359-#REF!</f>
        <v>#REF!</v>
      </c>
      <c r="Y359" s="153">
        <v>1426454.79</v>
      </c>
      <c r="Z359" s="153">
        <f t="shared" ref="Z359" si="54">+(K359*9.1+L359*18.19)*12</f>
        <v>586056.80280000006</v>
      </c>
      <c r="AB359" s="156" t="e">
        <f>+N359-#REF!</f>
        <v>#REF!</v>
      </c>
      <c r="AC359" s="164">
        <f>+N359-'[12]Приложение № 4'!E332</f>
        <v>0</v>
      </c>
      <c r="AE359" s="165" t="e">
        <f>+N359-#REF!</f>
        <v>#REF!</v>
      </c>
      <c r="AG359" s="3" t="s">
        <v>408</v>
      </c>
      <c r="AH359" s="4">
        <f>SUM(AI359:AW359)</f>
        <v>934622.4561395006</v>
      </c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>
        <v>887661.56687630061</v>
      </c>
      <c r="AV359" s="4">
        <v>46960.889263199999</v>
      </c>
      <c r="AW359" s="4"/>
      <c r="AZ359" s="156">
        <f>+N359-'Приложение №4'!E354</f>
        <v>0</v>
      </c>
    </row>
    <row r="360" spans="1:52" ht="15" x14ac:dyDescent="0.25">
      <c r="A360" s="122">
        <f t="shared" si="50"/>
        <v>343</v>
      </c>
      <c r="B360" s="62">
        <f t="shared" si="51"/>
        <v>343</v>
      </c>
      <c r="C360" s="62" t="s">
        <v>46</v>
      </c>
      <c r="D360" s="62" t="s">
        <v>409</v>
      </c>
      <c r="E360" s="123" t="s">
        <v>104</v>
      </c>
      <c r="F360" s="123"/>
      <c r="G360" s="123" t="s">
        <v>96</v>
      </c>
      <c r="H360" s="123" t="s">
        <v>97</v>
      </c>
      <c r="I360" s="123" t="s">
        <v>102</v>
      </c>
      <c r="J360" s="64">
        <v>2286.6999999999998</v>
      </c>
      <c r="K360" s="64">
        <v>2021.3</v>
      </c>
      <c r="L360" s="64">
        <v>0</v>
      </c>
      <c r="M360" s="124">
        <v>76</v>
      </c>
      <c r="N360" s="95">
        <f t="shared" si="49"/>
        <v>911565.37420800002</v>
      </c>
      <c r="O360" s="64">
        <v>0</v>
      </c>
      <c r="P360" s="64"/>
      <c r="Q360" s="64"/>
      <c r="R360" s="64">
        <f>+'[12]Приложение № 4'!E333</f>
        <v>911565.37420800002</v>
      </c>
      <c r="S360" s="64"/>
      <c r="T360" s="64"/>
      <c r="U360" s="64">
        <f t="shared" si="53"/>
        <v>450.97975273734727</v>
      </c>
      <c r="V360" s="64">
        <f t="shared" si="53"/>
        <v>450.97975273734727</v>
      </c>
      <c r="W360" s="163" t="s">
        <v>495</v>
      </c>
      <c r="X360" s="156" t="e">
        <f>+N360-#REF!</f>
        <v>#REF!</v>
      </c>
      <c r="Y360" s="153">
        <v>856434.57</v>
      </c>
      <c r="Z360" s="153">
        <f>+(K360*12.08+L360*20.47)*12</f>
        <v>293007.64799999999</v>
      </c>
      <c r="AB360" s="156" t="e">
        <f>+N360-#REF!</f>
        <v>#REF!</v>
      </c>
      <c r="AC360" s="164">
        <f>+N360-'[12]Приложение № 4'!E333</f>
        <v>0</v>
      </c>
      <c r="AE360" s="165" t="e">
        <f>+N360-#REF!</f>
        <v>#REF!</v>
      </c>
      <c r="AG360" s="3" t="s">
        <v>409</v>
      </c>
      <c r="AH360" s="4">
        <f>SUM(AI360:AW360)</f>
        <v>911565.37420800002</v>
      </c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>
        <v>887565.37420800002</v>
      </c>
      <c r="AV360" s="4">
        <v>24000</v>
      </c>
      <c r="AW360" s="4"/>
      <c r="AZ360" s="156">
        <f>+N360-'Приложение №4'!E355</f>
        <v>0</v>
      </c>
    </row>
    <row r="361" spans="1:52" ht="15" x14ac:dyDescent="0.25">
      <c r="A361" s="122">
        <f t="shared" si="50"/>
        <v>344</v>
      </c>
      <c r="B361" s="62">
        <f t="shared" si="51"/>
        <v>344</v>
      </c>
      <c r="C361" s="62" t="s">
        <v>46</v>
      </c>
      <c r="D361" s="62" t="s">
        <v>410</v>
      </c>
      <c r="E361" s="123" t="s">
        <v>503</v>
      </c>
      <c r="F361" s="123"/>
      <c r="G361" s="123" t="s">
        <v>96</v>
      </c>
      <c r="H361" s="123" t="s">
        <v>105</v>
      </c>
      <c r="I361" s="123" t="s">
        <v>98</v>
      </c>
      <c r="J361" s="64">
        <v>1367.9</v>
      </c>
      <c r="K361" s="64">
        <v>1174.8</v>
      </c>
      <c r="L361" s="64">
        <v>86.4</v>
      </c>
      <c r="M361" s="124">
        <v>46</v>
      </c>
      <c r="N361" s="95">
        <f t="shared" si="49"/>
        <v>496809.09589427832</v>
      </c>
      <c r="O361" s="64">
        <v>0</v>
      </c>
      <c r="P361" s="64"/>
      <c r="Q361" s="64"/>
      <c r="R361" s="64">
        <f>+'[12]Приложение № 4'!E334</f>
        <v>496809.09589427832</v>
      </c>
      <c r="S361" s="64"/>
      <c r="T361" s="64"/>
      <c r="U361" s="64">
        <f t="shared" si="53"/>
        <v>393.91777346517466</v>
      </c>
      <c r="V361" s="64">
        <f t="shared" si="53"/>
        <v>393.91777346517466</v>
      </c>
      <c r="W361" s="163" t="s">
        <v>495</v>
      </c>
      <c r="X361" s="156" t="e">
        <f>+N361-#REF!</f>
        <v>#REF!</v>
      </c>
      <c r="Y361" s="153">
        <v>453376.26</v>
      </c>
      <c r="Z361" s="153">
        <f>+(K361*9.1+L361*18.19)*12</f>
        <v>147147.55199999997</v>
      </c>
      <c r="AB361" s="156" t="e">
        <f>+N361-#REF!</f>
        <v>#REF!</v>
      </c>
      <c r="AC361" s="164">
        <f>+N361-'[12]Приложение № 4'!E334</f>
        <v>0</v>
      </c>
      <c r="AE361" s="165" t="e">
        <f>+N361-#REF!</f>
        <v>#REF!</v>
      </c>
      <c r="AG361" s="3" t="s">
        <v>410</v>
      </c>
      <c r="AH361" s="4">
        <f>SUM(AI361:AW361)</f>
        <v>496809.09589427832</v>
      </c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>
        <v>472809.09589427832</v>
      </c>
      <c r="AV361" s="4">
        <v>24000</v>
      </c>
      <c r="AW361" s="4"/>
      <c r="AZ361" s="156">
        <f>+N361-'Приложение №4'!E356</f>
        <v>0</v>
      </c>
    </row>
    <row r="362" spans="1:52" ht="15" x14ac:dyDescent="0.25">
      <c r="A362" s="122">
        <f t="shared" si="50"/>
        <v>345</v>
      </c>
      <c r="B362" s="62">
        <f t="shared" si="51"/>
        <v>345</v>
      </c>
      <c r="C362" s="62" t="s">
        <v>46</v>
      </c>
      <c r="D362" s="62" t="s">
        <v>528</v>
      </c>
      <c r="E362" s="123">
        <v>1969</v>
      </c>
      <c r="F362" s="123">
        <v>1969</v>
      </c>
      <c r="G362" s="123" t="s">
        <v>43</v>
      </c>
      <c r="H362" s="123">
        <v>4</v>
      </c>
      <c r="I362" s="123">
        <v>2</v>
      </c>
      <c r="J362" s="64">
        <v>1357.7</v>
      </c>
      <c r="K362" s="64">
        <v>1091.9000000000001</v>
      </c>
      <c r="L362" s="64">
        <v>152.5</v>
      </c>
      <c r="M362" s="124">
        <v>48</v>
      </c>
      <c r="N362" s="95">
        <f>+P362+Q362+R362+S362+T362</f>
        <v>16983.28</v>
      </c>
      <c r="O362" s="64"/>
      <c r="P362" s="65"/>
      <c r="Q362" s="65"/>
      <c r="R362" s="64">
        <f>+'[12]Приложение № 4'!E335</f>
        <v>16983.28</v>
      </c>
      <c r="S362" s="65"/>
      <c r="T362" s="65"/>
      <c r="U362" s="64">
        <f t="shared" si="53"/>
        <v>13.647765991642556</v>
      </c>
      <c r="V362" s="64">
        <f t="shared" si="53"/>
        <v>13.647765991642556</v>
      </c>
      <c r="W362" s="163" t="s">
        <v>495</v>
      </c>
      <c r="AC362" s="164">
        <f>+N362-'[12]Приложение № 4'!E335</f>
        <v>0</v>
      </c>
      <c r="AZ362" s="156">
        <f>+N362-'Приложение №4'!E357</f>
        <v>0</v>
      </c>
    </row>
    <row r="363" spans="1:52" ht="15" x14ac:dyDescent="0.25">
      <c r="A363" s="122">
        <f t="shared" si="50"/>
        <v>346</v>
      </c>
      <c r="B363" s="62">
        <f t="shared" si="51"/>
        <v>346</v>
      </c>
      <c r="C363" s="62" t="s">
        <v>46</v>
      </c>
      <c r="D363" s="62" t="s">
        <v>411</v>
      </c>
      <c r="E363" s="123" t="s">
        <v>124</v>
      </c>
      <c r="F363" s="123"/>
      <c r="G363" s="123" t="s">
        <v>96</v>
      </c>
      <c r="H363" s="123" t="s">
        <v>105</v>
      </c>
      <c r="I363" s="123" t="s">
        <v>98</v>
      </c>
      <c r="J363" s="64">
        <v>1409.7</v>
      </c>
      <c r="K363" s="64">
        <v>1203.5999999999999</v>
      </c>
      <c r="L363" s="64">
        <v>0</v>
      </c>
      <c r="M363" s="124">
        <v>51</v>
      </c>
      <c r="N363" s="95">
        <f t="shared" si="49"/>
        <v>160776.678912</v>
      </c>
      <c r="O363" s="64">
        <v>0</v>
      </c>
      <c r="P363" s="64"/>
      <c r="Q363" s="64"/>
      <c r="R363" s="64">
        <f>+'[12]Приложение № 4'!E336</f>
        <v>160776.678912</v>
      </c>
      <c r="S363" s="64"/>
      <c r="T363" s="64"/>
      <c r="U363" s="64">
        <f t="shared" si="53"/>
        <v>133.57982628115656</v>
      </c>
      <c r="V363" s="64">
        <f t="shared" si="53"/>
        <v>133.57982628115656</v>
      </c>
      <c r="W363" s="163" t="s">
        <v>495</v>
      </c>
      <c r="X363" s="156" t="e">
        <f>+N363-#REF!</f>
        <v>#REF!</v>
      </c>
      <c r="Y363" s="153">
        <v>469939.53</v>
      </c>
      <c r="Z363" s="153">
        <f>+(K363*9.1+L363*18.19)*12</f>
        <v>131433.12</v>
      </c>
      <c r="AB363" s="156" t="e">
        <f>+N363-#REF!</f>
        <v>#REF!</v>
      </c>
      <c r="AC363" s="164">
        <f>+N363-'[12]Приложение № 4'!E336</f>
        <v>0</v>
      </c>
      <c r="AE363" s="165" t="e">
        <f>+N363-#REF!</f>
        <v>#REF!</v>
      </c>
      <c r="AG363" s="3" t="s">
        <v>411</v>
      </c>
      <c r="AH363" s="4">
        <f t="shared" ref="AH363:AH368" si="55">SUM(AI363:AW363)</f>
        <v>160776.678912</v>
      </c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>
        <v>136776.678912</v>
      </c>
      <c r="AV363" s="4">
        <v>24000</v>
      </c>
      <c r="AW363" s="4"/>
      <c r="AZ363" s="156">
        <f>+N363-'Приложение №4'!E358</f>
        <v>0</v>
      </c>
    </row>
    <row r="364" spans="1:52" ht="15" x14ac:dyDescent="0.25">
      <c r="A364" s="122">
        <f t="shared" si="50"/>
        <v>347</v>
      </c>
      <c r="B364" s="62">
        <f t="shared" si="51"/>
        <v>347</v>
      </c>
      <c r="C364" s="62" t="s">
        <v>46</v>
      </c>
      <c r="D364" s="62" t="s">
        <v>412</v>
      </c>
      <c r="E364" s="123" t="s">
        <v>116</v>
      </c>
      <c r="F364" s="123"/>
      <c r="G364" s="123" t="s">
        <v>96</v>
      </c>
      <c r="H364" s="123" t="s">
        <v>108</v>
      </c>
      <c r="I364" s="123" t="s">
        <v>109</v>
      </c>
      <c r="J364" s="64">
        <v>5886.2</v>
      </c>
      <c r="K364" s="64">
        <v>4416.3100000000004</v>
      </c>
      <c r="L364" s="64">
        <v>1102.7</v>
      </c>
      <c r="M364" s="124">
        <v>214</v>
      </c>
      <c r="N364" s="95">
        <f t="shared" si="49"/>
        <v>1773207.5725510609</v>
      </c>
      <c r="O364" s="64">
        <v>0</v>
      </c>
      <c r="P364" s="64"/>
      <c r="Q364" s="64"/>
      <c r="R364" s="64">
        <f>+'[12]Приложение № 4'!E337</f>
        <v>1773207.5725510609</v>
      </c>
      <c r="S364" s="64"/>
      <c r="T364" s="64"/>
      <c r="U364" s="64">
        <f t="shared" si="53"/>
        <v>321.29087871757088</v>
      </c>
      <c r="V364" s="64">
        <f t="shared" si="53"/>
        <v>321.29087871757088</v>
      </c>
      <c r="W364" s="163" t="s">
        <v>495</v>
      </c>
      <c r="X364" s="156" t="e">
        <f>+N364-#REF!</f>
        <v>#REF!</v>
      </c>
      <c r="Y364" s="153">
        <v>2352732.9</v>
      </c>
      <c r="Z364" s="153">
        <f t="shared" ref="Z364:Z384" si="56">+(K364*9.1+L364*18.19)*12</f>
        <v>722958.40800000005</v>
      </c>
      <c r="AB364" s="156" t="e">
        <f>+N364-#REF!</f>
        <v>#REF!</v>
      </c>
      <c r="AC364" s="164">
        <f>+N364-'[12]Приложение № 4'!E337</f>
        <v>0</v>
      </c>
      <c r="AE364" s="165" t="e">
        <f>+N364-#REF!</f>
        <v>#REF!</v>
      </c>
      <c r="AG364" s="3" t="s">
        <v>412</v>
      </c>
      <c r="AH364" s="4">
        <f t="shared" si="55"/>
        <v>1773207.5725510609</v>
      </c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>
        <v>1725612.5056486609</v>
      </c>
      <c r="AV364" s="4">
        <v>47595.066902400002</v>
      </c>
      <c r="AW364" s="4"/>
      <c r="AZ364" s="156">
        <f>+N364-'Приложение №4'!E359</f>
        <v>0</v>
      </c>
    </row>
    <row r="365" spans="1:52" ht="15" x14ac:dyDescent="0.25">
      <c r="A365" s="122">
        <f t="shared" si="50"/>
        <v>348</v>
      </c>
      <c r="B365" s="62">
        <f t="shared" si="51"/>
        <v>348</v>
      </c>
      <c r="C365" s="62" t="s">
        <v>46</v>
      </c>
      <c r="D365" s="62" t="s">
        <v>413</v>
      </c>
      <c r="E365" s="123" t="s">
        <v>117</v>
      </c>
      <c r="F365" s="123"/>
      <c r="G365" s="123" t="s">
        <v>96</v>
      </c>
      <c r="H365" s="123" t="s">
        <v>105</v>
      </c>
      <c r="I365" s="123" t="s">
        <v>109</v>
      </c>
      <c r="J365" s="64">
        <v>4464.7</v>
      </c>
      <c r="K365" s="64">
        <v>4062.7</v>
      </c>
      <c r="L365" s="64">
        <v>42</v>
      </c>
      <c r="M365" s="124">
        <v>161</v>
      </c>
      <c r="N365" s="95">
        <f t="shared" si="49"/>
        <v>864133.50417568884</v>
      </c>
      <c r="O365" s="64">
        <v>0</v>
      </c>
      <c r="P365" s="64"/>
      <c r="Q365" s="64"/>
      <c r="R365" s="64">
        <f>+'[12]Приложение № 4'!E338</f>
        <v>864133.50417568884</v>
      </c>
      <c r="S365" s="64"/>
      <c r="T365" s="64"/>
      <c r="U365" s="64">
        <f t="shared" si="53"/>
        <v>210.52293813815598</v>
      </c>
      <c r="V365" s="64">
        <f t="shared" si="53"/>
        <v>210.52293813815598</v>
      </c>
      <c r="W365" s="163" t="s">
        <v>495</v>
      </c>
      <c r="X365" s="156" t="e">
        <f>+N365-#REF!</f>
        <v>#REF!</v>
      </c>
      <c r="Y365" s="153">
        <v>1460878.33</v>
      </c>
      <c r="Z365" s="153">
        <f t="shared" si="56"/>
        <v>452814.60000000003</v>
      </c>
      <c r="AB365" s="156" t="e">
        <f>+N365-#REF!</f>
        <v>#REF!</v>
      </c>
      <c r="AC365" s="164">
        <f>+N365-'[12]Приложение № 4'!E338</f>
        <v>0</v>
      </c>
      <c r="AE365" s="165" t="e">
        <f>+N365-#REF!</f>
        <v>#REF!</v>
      </c>
      <c r="AG365" s="3" t="s">
        <v>413</v>
      </c>
      <c r="AH365" s="4">
        <f t="shared" si="55"/>
        <v>864133.50417568884</v>
      </c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>
        <v>817575.61411888886</v>
      </c>
      <c r="AV365" s="4">
        <v>46557.890056800003</v>
      </c>
      <c r="AW365" s="4"/>
      <c r="AZ365" s="156">
        <f>+N365-'Приложение №4'!E360</f>
        <v>0</v>
      </c>
    </row>
    <row r="366" spans="1:52" ht="15" x14ac:dyDescent="0.25">
      <c r="A366" s="122">
        <f t="shared" si="50"/>
        <v>349</v>
      </c>
      <c r="B366" s="62">
        <f t="shared" si="51"/>
        <v>349</v>
      </c>
      <c r="C366" s="62" t="s">
        <v>46</v>
      </c>
      <c r="D366" s="62" t="s">
        <v>414</v>
      </c>
      <c r="E366" s="123" t="s">
        <v>127</v>
      </c>
      <c r="F366" s="123"/>
      <c r="G366" s="123" t="s">
        <v>96</v>
      </c>
      <c r="H366" s="123" t="s">
        <v>108</v>
      </c>
      <c r="I366" s="123" t="s">
        <v>109</v>
      </c>
      <c r="J366" s="64">
        <v>5607.8</v>
      </c>
      <c r="K366" s="64">
        <v>5133.7</v>
      </c>
      <c r="L366" s="64">
        <v>0</v>
      </c>
      <c r="M366" s="124">
        <v>237</v>
      </c>
      <c r="N366" s="95">
        <f t="shared" si="49"/>
        <v>1357951.5</v>
      </c>
      <c r="O366" s="64">
        <v>0</v>
      </c>
      <c r="P366" s="64"/>
      <c r="Q366" s="64"/>
      <c r="R366" s="64">
        <f>+'[12]Приложение № 4'!E339</f>
        <v>1357951.5</v>
      </c>
      <c r="S366" s="64"/>
      <c r="T366" s="64"/>
      <c r="U366" s="64">
        <f t="shared" si="53"/>
        <v>264.51711241404837</v>
      </c>
      <c r="V366" s="64">
        <f t="shared" si="53"/>
        <v>264.51711241404837</v>
      </c>
      <c r="W366" s="163" t="s">
        <v>495</v>
      </c>
      <c r="X366" s="156" t="e">
        <f>+N366-#REF!</f>
        <v>#REF!</v>
      </c>
      <c r="Y366" s="153">
        <v>1750956.42</v>
      </c>
      <c r="Z366" s="153">
        <f t="shared" si="56"/>
        <v>560600.04</v>
      </c>
      <c r="AB366" s="156" t="e">
        <f>+N366-#REF!</f>
        <v>#REF!</v>
      </c>
      <c r="AC366" s="164">
        <f>+N366-'[12]Приложение № 4'!E339</f>
        <v>0</v>
      </c>
      <c r="AE366" s="165" t="e">
        <f>+N366-#REF!</f>
        <v>#REF!</v>
      </c>
      <c r="AG366" s="3" t="s">
        <v>414</v>
      </c>
      <c r="AH366" s="4">
        <f t="shared" si="55"/>
        <v>1357951.4797721955</v>
      </c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>
        <v>1310782.6855865954</v>
      </c>
      <c r="AV366" s="4">
        <v>47168.794185599996</v>
      </c>
      <c r="AW366" s="4"/>
      <c r="AZ366" s="156">
        <f>+N366-'Приложение №4'!E361</f>
        <v>0</v>
      </c>
    </row>
    <row r="367" spans="1:52" ht="15" x14ac:dyDescent="0.25">
      <c r="A367" s="122">
        <f t="shared" si="50"/>
        <v>350</v>
      </c>
      <c r="B367" s="62">
        <f t="shared" si="51"/>
        <v>350</v>
      </c>
      <c r="C367" s="62" t="s">
        <v>46</v>
      </c>
      <c r="D367" s="62" t="s">
        <v>415</v>
      </c>
      <c r="E367" s="123" t="s">
        <v>124</v>
      </c>
      <c r="F367" s="123"/>
      <c r="G367" s="123" t="s">
        <v>96</v>
      </c>
      <c r="H367" s="123" t="s">
        <v>105</v>
      </c>
      <c r="I367" s="123" t="s">
        <v>101</v>
      </c>
      <c r="J367" s="64">
        <v>2238.5</v>
      </c>
      <c r="K367" s="64">
        <v>2060.8000000000002</v>
      </c>
      <c r="L367" s="64">
        <v>0</v>
      </c>
      <c r="M367" s="124">
        <v>101</v>
      </c>
      <c r="N367" s="95">
        <f t="shared" si="49"/>
        <v>1007589.79</v>
      </c>
      <c r="O367" s="64">
        <v>0</v>
      </c>
      <c r="P367" s="64"/>
      <c r="Q367" s="64"/>
      <c r="R367" s="64">
        <f>+'[12]Приложение № 4'!E340</f>
        <v>1007589.79</v>
      </c>
      <c r="S367" s="64"/>
      <c r="T367" s="64"/>
      <c r="U367" s="64">
        <f t="shared" si="53"/>
        <v>488.9313810170807</v>
      </c>
      <c r="V367" s="64">
        <f t="shared" si="53"/>
        <v>488.9313810170807</v>
      </c>
      <c r="W367" s="163" t="s">
        <v>495</v>
      </c>
      <c r="X367" s="156" t="e">
        <f>+N367-#REF!</f>
        <v>#REF!</v>
      </c>
      <c r="Y367" s="153">
        <v>719258.09</v>
      </c>
      <c r="Z367" s="153">
        <f t="shared" si="56"/>
        <v>225039.36000000004</v>
      </c>
      <c r="AB367" s="156" t="e">
        <f>+N367-#REF!</f>
        <v>#REF!</v>
      </c>
      <c r="AC367" s="164">
        <f>+N367-'[12]Приложение № 4'!E340</f>
        <v>0</v>
      </c>
      <c r="AE367" s="165" t="e">
        <f>+N367-#REF!</f>
        <v>#REF!</v>
      </c>
      <c r="AG367" s="3" t="s">
        <v>415</v>
      </c>
      <c r="AH367" s="4">
        <f t="shared" si="55"/>
        <v>1007589.8053544882</v>
      </c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>
        <v>965008.67431048816</v>
      </c>
      <c r="AV367" s="4">
        <v>42581.131044000002</v>
      </c>
      <c r="AW367" s="4"/>
      <c r="AZ367" s="156">
        <f>+N367-'Приложение №4'!E362</f>
        <v>0</v>
      </c>
    </row>
    <row r="368" spans="1:52" ht="15" x14ac:dyDescent="0.25">
      <c r="A368" s="122">
        <f t="shared" si="50"/>
        <v>351</v>
      </c>
      <c r="B368" s="62">
        <f t="shared" si="51"/>
        <v>351</v>
      </c>
      <c r="C368" s="62" t="s">
        <v>46</v>
      </c>
      <c r="D368" s="62" t="s">
        <v>416</v>
      </c>
      <c r="E368" s="123" t="s">
        <v>124</v>
      </c>
      <c r="F368" s="123"/>
      <c r="G368" s="123" t="s">
        <v>96</v>
      </c>
      <c r="H368" s="123" t="s">
        <v>105</v>
      </c>
      <c r="I368" s="123" t="s">
        <v>101</v>
      </c>
      <c r="J368" s="64">
        <v>2234.3000000000002</v>
      </c>
      <c r="K368" s="64">
        <v>2054.1</v>
      </c>
      <c r="L368" s="64">
        <v>0</v>
      </c>
      <c r="M368" s="124">
        <v>124</v>
      </c>
      <c r="N368" s="95">
        <f t="shared" si="49"/>
        <v>935653.96</v>
      </c>
      <c r="O368" s="64">
        <v>0</v>
      </c>
      <c r="P368" s="64"/>
      <c r="Q368" s="64"/>
      <c r="R368" s="64">
        <f>+'[12]Приложение № 4'!E341</f>
        <v>935653.96</v>
      </c>
      <c r="S368" s="64"/>
      <c r="T368" s="64"/>
      <c r="U368" s="64">
        <f t="shared" si="53"/>
        <v>455.50555474417018</v>
      </c>
      <c r="V368" s="64">
        <f t="shared" si="53"/>
        <v>455.50555474417018</v>
      </c>
      <c r="W368" s="163" t="s">
        <v>495</v>
      </c>
      <c r="X368" s="156" t="e">
        <f>+N368-#REF!</f>
        <v>#REF!</v>
      </c>
      <c r="Y368" s="153">
        <v>661035.38</v>
      </c>
      <c r="Z368" s="153">
        <f t="shared" si="56"/>
        <v>224307.71999999997</v>
      </c>
      <c r="AB368" s="156" t="e">
        <f>+N368-#REF!</f>
        <v>#REF!</v>
      </c>
      <c r="AC368" s="164">
        <f>+N368-'[12]Приложение № 4'!E341</f>
        <v>0</v>
      </c>
      <c r="AE368" s="165" t="e">
        <f>+N368-#REF!</f>
        <v>#REF!</v>
      </c>
      <c r="AG368" s="3" t="s">
        <v>416</v>
      </c>
      <c r="AH368" s="4">
        <f t="shared" si="55"/>
        <v>935653.97403982701</v>
      </c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>
        <v>893080.34564062697</v>
      </c>
      <c r="AV368" s="4">
        <v>42573.628399199995</v>
      </c>
      <c r="AW368" s="4"/>
      <c r="AZ368" s="156">
        <f>+N368-'Приложение №4'!E363</f>
        <v>0</v>
      </c>
    </row>
    <row r="369" spans="1:52" ht="15" x14ac:dyDescent="0.25">
      <c r="A369" s="122">
        <f t="shared" si="50"/>
        <v>352</v>
      </c>
      <c r="B369" s="62">
        <f t="shared" si="51"/>
        <v>352</v>
      </c>
      <c r="C369" s="62" t="s">
        <v>46</v>
      </c>
      <c r="D369" s="62" t="s">
        <v>566</v>
      </c>
      <c r="E369" s="123">
        <v>1965</v>
      </c>
      <c r="F369" s="123">
        <v>1965</v>
      </c>
      <c r="G369" s="123" t="s">
        <v>48</v>
      </c>
      <c r="H369" s="123">
        <v>2</v>
      </c>
      <c r="I369" s="123">
        <v>2</v>
      </c>
      <c r="J369" s="64">
        <v>547.4</v>
      </c>
      <c r="K369" s="64">
        <v>508.9</v>
      </c>
      <c r="L369" s="64">
        <v>0</v>
      </c>
      <c r="M369" s="124">
        <v>31</v>
      </c>
      <c r="N369" s="95">
        <f>+P369+Q369+R369+S369+T369</f>
        <v>190555.65</v>
      </c>
      <c r="O369" s="64"/>
      <c r="P369" s="65"/>
      <c r="Q369" s="65"/>
      <c r="R369" s="64">
        <f>+'[12]Приложение № 4'!E342</f>
        <v>190555.65</v>
      </c>
      <c r="S369" s="65"/>
      <c r="T369" s="65"/>
      <c r="U369" s="64">
        <f t="shared" si="53"/>
        <v>374.44615838082137</v>
      </c>
      <c r="V369" s="64">
        <f t="shared" si="53"/>
        <v>374.44615838082137</v>
      </c>
      <c r="W369" s="163" t="s">
        <v>495</v>
      </c>
      <c r="X369" s="157"/>
      <c r="Y369" s="158"/>
      <c r="Z369" s="158"/>
      <c r="AA369" s="158"/>
      <c r="AC369" s="164">
        <f>+N369-'[12]Приложение № 4'!E342</f>
        <v>0</v>
      </c>
      <c r="AZ369" s="156">
        <f>+N369-'Приложение №4'!E364</f>
        <v>0</v>
      </c>
    </row>
    <row r="370" spans="1:52" ht="15" x14ac:dyDescent="0.25">
      <c r="A370" s="122">
        <f t="shared" si="50"/>
        <v>353</v>
      </c>
      <c r="B370" s="62">
        <f t="shared" si="51"/>
        <v>353</v>
      </c>
      <c r="C370" s="62" t="s">
        <v>46</v>
      </c>
      <c r="D370" s="62" t="s">
        <v>1184</v>
      </c>
      <c r="E370" s="123">
        <v>1970</v>
      </c>
      <c r="F370" s="123">
        <v>1970</v>
      </c>
      <c r="G370" s="123" t="s">
        <v>48</v>
      </c>
      <c r="H370" s="123">
        <v>2</v>
      </c>
      <c r="I370" s="123">
        <v>2</v>
      </c>
      <c r="J370" s="64">
        <v>661.2</v>
      </c>
      <c r="K370" s="64">
        <v>599.79999999999995</v>
      </c>
      <c r="L370" s="64">
        <v>0</v>
      </c>
      <c r="M370" s="124">
        <v>31</v>
      </c>
      <c r="N370" s="95">
        <f>+P370+Q370+R370+S370+T370</f>
        <v>140632.47</v>
      </c>
      <c r="O370" s="64"/>
      <c r="P370" s="65"/>
      <c r="Q370" s="65"/>
      <c r="R370" s="64">
        <f>+'[12]Приложение № 4'!E343</f>
        <v>140632.47</v>
      </c>
      <c r="S370" s="65"/>
      <c r="T370" s="65"/>
      <c r="U370" s="64">
        <f t="shared" si="53"/>
        <v>234.46560520173392</v>
      </c>
      <c r="V370" s="64">
        <f t="shared" si="53"/>
        <v>234.46560520173392</v>
      </c>
      <c r="W370" s="163" t="s">
        <v>495</v>
      </c>
      <c r="X370" s="157"/>
      <c r="Y370" s="158"/>
      <c r="Z370" s="158"/>
      <c r="AA370" s="158"/>
      <c r="AC370" s="164">
        <f>+N370-'[12]Приложение № 4'!E343</f>
        <v>0</v>
      </c>
      <c r="AZ370" s="156">
        <f>+N370-'Приложение №4'!E365</f>
        <v>0</v>
      </c>
    </row>
    <row r="371" spans="1:52" ht="15" x14ac:dyDescent="0.25">
      <c r="A371" s="122">
        <f t="shared" si="50"/>
        <v>354</v>
      </c>
      <c r="B371" s="62">
        <f t="shared" si="51"/>
        <v>354</v>
      </c>
      <c r="C371" s="62" t="s">
        <v>46</v>
      </c>
      <c r="D371" s="62" t="s">
        <v>567</v>
      </c>
      <c r="E371" s="123">
        <v>1991</v>
      </c>
      <c r="F371" s="123">
        <v>2007</v>
      </c>
      <c r="G371" s="123" t="s">
        <v>48</v>
      </c>
      <c r="H371" s="123">
        <v>2</v>
      </c>
      <c r="I371" s="123">
        <v>2</v>
      </c>
      <c r="J371" s="64">
        <v>682.9</v>
      </c>
      <c r="K371" s="64">
        <v>606</v>
      </c>
      <c r="L371" s="64">
        <v>0</v>
      </c>
      <c r="M371" s="124">
        <v>28</v>
      </c>
      <c r="N371" s="95">
        <f>+P371+Q371+R371+S371+T371</f>
        <v>46838</v>
      </c>
      <c r="O371" s="64"/>
      <c r="P371" s="65"/>
      <c r="Q371" s="65"/>
      <c r="R371" s="64">
        <f>+'[12]Приложение № 4'!E344</f>
        <v>46838</v>
      </c>
      <c r="S371" s="65"/>
      <c r="T371" s="65"/>
      <c r="U371" s="64">
        <f t="shared" si="53"/>
        <v>77.290429042904293</v>
      </c>
      <c r="V371" s="64">
        <f t="shared" si="53"/>
        <v>77.290429042904293</v>
      </c>
      <c r="W371" s="163" t="s">
        <v>495</v>
      </c>
      <c r="X371" s="157"/>
      <c r="Y371" s="158"/>
      <c r="Z371" s="158"/>
      <c r="AA371" s="158"/>
      <c r="AC371" s="164">
        <f>+N371-'[12]Приложение № 4'!E344</f>
        <v>0</v>
      </c>
      <c r="AZ371" s="156">
        <f>+N371-'Приложение №4'!E366</f>
        <v>0</v>
      </c>
    </row>
    <row r="372" spans="1:52" ht="15" x14ac:dyDescent="0.25">
      <c r="A372" s="122">
        <f t="shared" si="50"/>
        <v>355</v>
      </c>
      <c r="B372" s="62">
        <f t="shared" si="51"/>
        <v>355</v>
      </c>
      <c r="C372" s="62" t="s">
        <v>57</v>
      </c>
      <c r="D372" s="62" t="s">
        <v>417</v>
      </c>
      <c r="E372" s="123" t="s">
        <v>135</v>
      </c>
      <c r="F372" s="123"/>
      <c r="G372" s="123" t="s">
        <v>99</v>
      </c>
      <c r="H372" s="123" t="s">
        <v>108</v>
      </c>
      <c r="I372" s="123" t="s">
        <v>98</v>
      </c>
      <c r="J372" s="64">
        <v>2847.7</v>
      </c>
      <c r="K372" s="64">
        <v>2551.9</v>
      </c>
      <c r="L372" s="64">
        <v>0</v>
      </c>
      <c r="M372" s="124">
        <v>120</v>
      </c>
      <c r="N372" s="95">
        <f t="shared" si="49"/>
        <v>442120.36</v>
      </c>
      <c r="O372" s="64">
        <v>0</v>
      </c>
      <c r="P372" s="64"/>
      <c r="Q372" s="64"/>
      <c r="R372" s="64">
        <f>+'[12]Приложение № 4'!E345</f>
        <v>442120.36</v>
      </c>
      <c r="S372" s="64"/>
      <c r="T372" s="64"/>
      <c r="U372" s="64">
        <f t="shared" si="53"/>
        <v>173.25144402210117</v>
      </c>
      <c r="V372" s="64">
        <f t="shared" si="53"/>
        <v>173.25144402210117</v>
      </c>
      <c r="W372" s="163" t="s">
        <v>495</v>
      </c>
      <c r="X372" s="156" t="e">
        <f>+N372-#REF!</f>
        <v>#REF!</v>
      </c>
      <c r="Y372" s="153">
        <v>426482.55</v>
      </c>
      <c r="Z372" s="153">
        <f t="shared" si="56"/>
        <v>278667.48</v>
      </c>
      <c r="AB372" s="156" t="e">
        <f>+N372-#REF!</f>
        <v>#REF!</v>
      </c>
      <c r="AC372" s="164">
        <f>+N372-'[12]Приложение № 4'!E345</f>
        <v>0</v>
      </c>
      <c r="AE372" s="165" t="e">
        <f>+N372-#REF!</f>
        <v>#REF!</v>
      </c>
      <c r="AG372" s="3" t="s">
        <v>417</v>
      </c>
      <c r="AH372" s="4">
        <f>SUM(AI372:AW372)</f>
        <v>442120.36704000004</v>
      </c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>
        <v>418120.36704000004</v>
      </c>
      <c r="AV372" s="4">
        <v>24000</v>
      </c>
      <c r="AW372" s="4"/>
      <c r="AZ372" s="156">
        <f>+N372-'Приложение №4'!E367</f>
        <v>0</v>
      </c>
    </row>
    <row r="373" spans="1:52" ht="15" x14ac:dyDescent="0.25">
      <c r="A373" s="122">
        <f t="shared" si="50"/>
        <v>356</v>
      </c>
      <c r="B373" s="62">
        <f t="shared" si="51"/>
        <v>356</v>
      </c>
      <c r="C373" s="62" t="s">
        <v>535</v>
      </c>
      <c r="D373" s="62" t="s">
        <v>568</v>
      </c>
      <c r="E373" s="123">
        <v>1981</v>
      </c>
      <c r="F373" s="123">
        <v>1981</v>
      </c>
      <c r="G373" s="123" t="s">
        <v>48</v>
      </c>
      <c r="H373" s="123">
        <v>2</v>
      </c>
      <c r="I373" s="123">
        <v>3</v>
      </c>
      <c r="J373" s="64">
        <v>837.3</v>
      </c>
      <c r="K373" s="64">
        <v>745.9</v>
      </c>
      <c r="L373" s="64">
        <v>0</v>
      </c>
      <c r="M373" s="124">
        <v>28</v>
      </c>
      <c r="N373" s="95">
        <f t="shared" si="49"/>
        <v>153059.96000000002</v>
      </c>
      <c r="O373" s="64"/>
      <c r="P373" s="65"/>
      <c r="Q373" s="65"/>
      <c r="R373" s="64">
        <f>+'[12]Приложение № 4'!E346</f>
        <v>153059.96000000002</v>
      </c>
      <c r="S373" s="65"/>
      <c r="T373" s="65"/>
      <c r="U373" s="64">
        <f t="shared" si="53"/>
        <v>205.20171604772761</v>
      </c>
      <c r="V373" s="64">
        <f t="shared" si="53"/>
        <v>205.20171604772761</v>
      </c>
      <c r="W373" s="163" t="s">
        <v>495</v>
      </c>
      <c r="X373" s="157"/>
      <c r="Y373" s="158"/>
      <c r="Z373" s="158"/>
      <c r="AA373" s="158"/>
      <c r="AC373" s="164">
        <f>+N373-'[12]Приложение № 4'!E346</f>
        <v>0</v>
      </c>
      <c r="AZ373" s="156">
        <f>+N373-'Приложение №4'!E368</f>
        <v>0</v>
      </c>
    </row>
    <row r="374" spans="1:52" ht="15" x14ac:dyDescent="0.25">
      <c r="A374" s="122">
        <f t="shared" si="50"/>
        <v>357</v>
      </c>
      <c r="B374" s="62">
        <f t="shared" si="51"/>
        <v>357</v>
      </c>
      <c r="C374" s="62" t="s">
        <v>535</v>
      </c>
      <c r="D374" s="62" t="s">
        <v>569</v>
      </c>
      <c r="E374" s="123">
        <v>1985</v>
      </c>
      <c r="F374" s="123">
        <v>1985</v>
      </c>
      <c r="G374" s="123" t="s">
        <v>48</v>
      </c>
      <c r="H374" s="123">
        <v>2</v>
      </c>
      <c r="I374" s="123">
        <v>3</v>
      </c>
      <c r="J374" s="64">
        <v>833.4</v>
      </c>
      <c r="K374" s="64">
        <v>741.3</v>
      </c>
      <c r="L374" s="64">
        <v>0</v>
      </c>
      <c r="M374" s="124">
        <v>30</v>
      </c>
      <c r="N374" s="95">
        <f t="shared" si="49"/>
        <v>213448.34</v>
      </c>
      <c r="O374" s="64"/>
      <c r="P374" s="65"/>
      <c r="Q374" s="65"/>
      <c r="R374" s="64">
        <f>+'[12]Приложение № 4'!E347</f>
        <v>213448.34</v>
      </c>
      <c r="S374" s="65"/>
      <c r="T374" s="65"/>
      <c r="U374" s="64">
        <f t="shared" si="53"/>
        <v>287.93786591123705</v>
      </c>
      <c r="V374" s="64">
        <f t="shared" si="53"/>
        <v>287.93786591123705</v>
      </c>
      <c r="W374" s="163" t="s">
        <v>495</v>
      </c>
      <c r="X374" s="157"/>
      <c r="Y374" s="158"/>
      <c r="Z374" s="158"/>
      <c r="AA374" s="158"/>
      <c r="AC374" s="164">
        <f>+N374-'[12]Приложение № 4'!E347</f>
        <v>0</v>
      </c>
      <c r="AZ374" s="156">
        <f>+N374-'Приложение №4'!E369</f>
        <v>0</v>
      </c>
    </row>
    <row r="375" spans="1:52" ht="15" x14ac:dyDescent="0.25">
      <c r="A375" s="122">
        <f t="shared" si="50"/>
        <v>358</v>
      </c>
      <c r="B375" s="62">
        <f t="shared" si="51"/>
        <v>358</v>
      </c>
      <c r="C375" s="62" t="s">
        <v>535</v>
      </c>
      <c r="D375" s="62" t="s">
        <v>570</v>
      </c>
      <c r="E375" s="123">
        <v>1989</v>
      </c>
      <c r="F375" s="123">
        <v>1989</v>
      </c>
      <c r="G375" s="123" t="s">
        <v>48</v>
      </c>
      <c r="H375" s="123">
        <v>2</v>
      </c>
      <c r="I375" s="123">
        <v>3</v>
      </c>
      <c r="J375" s="64">
        <v>801.3</v>
      </c>
      <c r="K375" s="64">
        <v>722.7</v>
      </c>
      <c r="L375" s="64">
        <v>0</v>
      </c>
      <c r="M375" s="124">
        <v>28</v>
      </c>
      <c r="N375" s="95">
        <f t="shared" si="49"/>
        <v>153772.23000000001</v>
      </c>
      <c r="O375" s="64"/>
      <c r="P375" s="65"/>
      <c r="Q375" s="65"/>
      <c r="R375" s="64">
        <f>+'[12]Приложение № 4'!E348</f>
        <v>153772.23000000001</v>
      </c>
      <c r="S375" s="65"/>
      <c r="T375" s="65"/>
      <c r="U375" s="64">
        <f t="shared" si="53"/>
        <v>212.77463677874636</v>
      </c>
      <c r="V375" s="64">
        <f t="shared" si="53"/>
        <v>212.77463677874636</v>
      </c>
      <c r="W375" s="163" t="s">
        <v>495</v>
      </c>
      <c r="X375" s="157"/>
      <c r="Y375" s="158"/>
      <c r="Z375" s="158"/>
      <c r="AA375" s="158"/>
      <c r="AC375" s="164">
        <f>+N375-'[12]Приложение № 4'!E348</f>
        <v>0</v>
      </c>
      <c r="AZ375" s="156">
        <f>+N375-'Приложение №4'!E370</f>
        <v>0</v>
      </c>
    </row>
    <row r="376" spans="1:52" ht="15" x14ac:dyDescent="0.25">
      <c r="A376" s="122">
        <f t="shared" si="50"/>
        <v>359</v>
      </c>
      <c r="B376" s="62">
        <f t="shared" si="51"/>
        <v>359</v>
      </c>
      <c r="C376" s="62" t="s">
        <v>535</v>
      </c>
      <c r="D376" s="62" t="s">
        <v>571</v>
      </c>
      <c r="E376" s="123">
        <v>1989</v>
      </c>
      <c r="F376" s="123">
        <v>1989</v>
      </c>
      <c r="G376" s="123" t="s">
        <v>48</v>
      </c>
      <c r="H376" s="123">
        <v>2</v>
      </c>
      <c r="I376" s="123">
        <v>3</v>
      </c>
      <c r="J376" s="64">
        <v>841.6</v>
      </c>
      <c r="K376" s="64">
        <v>750.4</v>
      </c>
      <c r="L376" s="64">
        <v>0</v>
      </c>
      <c r="M376" s="124">
        <v>37</v>
      </c>
      <c r="N376" s="95">
        <f t="shared" si="49"/>
        <v>104296.5</v>
      </c>
      <c r="O376" s="64"/>
      <c r="P376" s="65"/>
      <c r="Q376" s="65"/>
      <c r="R376" s="64">
        <f>+'[12]Приложение № 4'!E349</f>
        <v>104296.5</v>
      </c>
      <c r="S376" s="65"/>
      <c r="T376" s="65"/>
      <c r="U376" s="64">
        <f t="shared" si="53"/>
        <v>138.98787313432837</v>
      </c>
      <c r="V376" s="64">
        <f t="shared" si="53"/>
        <v>138.98787313432837</v>
      </c>
      <c r="W376" s="163" t="s">
        <v>495</v>
      </c>
      <c r="X376" s="157"/>
      <c r="Y376" s="158"/>
      <c r="Z376" s="158"/>
      <c r="AA376" s="158"/>
      <c r="AC376" s="164">
        <f>+N376-'[12]Приложение № 4'!E349</f>
        <v>0</v>
      </c>
      <c r="AZ376" s="156">
        <f>+N376-'Приложение №4'!E371</f>
        <v>0</v>
      </c>
    </row>
    <row r="377" spans="1:52" ht="15" x14ac:dyDescent="0.25">
      <c r="A377" s="122">
        <f t="shared" si="50"/>
        <v>360</v>
      </c>
      <c r="B377" s="62">
        <f t="shared" si="51"/>
        <v>360</v>
      </c>
      <c r="C377" s="62" t="s">
        <v>535</v>
      </c>
      <c r="D377" s="62" t="s">
        <v>572</v>
      </c>
      <c r="E377" s="123">
        <v>1988</v>
      </c>
      <c r="F377" s="123">
        <v>1988</v>
      </c>
      <c r="G377" s="123" t="s">
        <v>48</v>
      </c>
      <c r="H377" s="123">
        <v>2</v>
      </c>
      <c r="I377" s="123">
        <v>3</v>
      </c>
      <c r="J377" s="64">
        <v>803.8</v>
      </c>
      <c r="K377" s="64">
        <v>717.1</v>
      </c>
      <c r="L377" s="64">
        <v>0</v>
      </c>
      <c r="M377" s="124">
        <v>41</v>
      </c>
      <c r="N377" s="95">
        <f t="shared" si="49"/>
        <v>161679.23000000001</v>
      </c>
      <c r="O377" s="64"/>
      <c r="P377" s="65"/>
      <c r="Q377" s="65"/>
      <c r="R377" s="64">
        <f>+'[12]Приложение № 4'!E350</f>
        <v>161679.23000000001</v>
      </c>
      <c r="S377" s="65"/>
      <c r="T377" s="65"/>
      <c r="U377" s="64">
        <f t="shared" si="53"/>
        <v>225.4625993585274</v>
      </c>
      <c r="V377" s="64">
        <f t="shared" si="53"/>
        <v>225.4625993585274</v>
      </c>
      <c r="W377" s="163" t="s">
        <v>495</v>
      </c>
      <c r="X377" s="157"/>
      <c r="Y377" s="158"/>
      <c r="Z377" s="158"/>
      <c r="AA377" s="158"/>
      <c r="AC377" s="164">
        <f>+N377-'[12]Приложение № 4'!E350</f>
        <v>0</v>
      </c>
      <c r="AZ377" s="156">
        <f>+N377-'Приложение №4'!E372</f>
        <v>0</v>
      </c>
    </row>
    <row r="378" spans="1:52" ht="15" x14ac:dyDescent="0.25">
      <c r="A378" s="122">
        <f t="shared" si="50"/>
        <v>361</v>
      </c>
      <c r="B378" s="62">
        <f t="shared" si="51"/>
        <v>361</v>
      </c>
      <c r="C378" s="62" t="s">
        <v>535</v>
      </c>
      <c r="D378" s="62" t="s">
        <v>1185</v>
      </c>
      <c r="E378" s="123">
        <v>1991</v>
      </c>
      <c r="F378" s="123">
        <v>1993</v>
      </c>
      <c r="G378" s="123" t="s">
        <v>48</v>
      </c>
      <c r="H378" s="123">
        <v>2</v>
      </c>
      <c r="I378" s="123">
        <v>2</v>
      </c>
      <c r="J378" s="64">
        <v>606.5</v>
      </c>
      <c r="K378" s="64">
        <v>512.29999999999995</v>
      </c>
      <c r="L378" s="64">
        <v>0</v>
      </c>
      <c r="M378" s="124">
        <v>29</v>
      </c>
      <c r="N378" s="95">
        <f t="shared" si="49"/>
        <v>66155.19</v>
      </c>
      <c r="O378" s="64"/>
      <c r="P378" s="65"/>
      <c r="Q378" s="65"/>
      <c r="R378" s="64">
        <f>+'[12]Приложение № 4'!E351</f>
        <v>66155.19</v>
      </c>
      <c r="S378" s="65"/>
      <c r="T378" s="65"/>
      <c r="U378" s="64">
        <f t="shared" si="53"/>
        <v>129.13369119656454</v>
      </c>
      <c r="V378" s="64">
        <f t="shared" si="53"/>
        <v>129.13369119656454</v>
      </c>
      <c r="W378" s="163" t="s">
        <v>495</v>
      </c>
      <c r="X378" s="157"/>
      <c r="Y378" s="158"/>
      <c r="Z378" s="158"/>
      <c r="AA378" s="158"/>
      <c r="AC378" s="164">
        <f>+N378-'[12]Приложение № 4'!E351</f>
        <v>0</v>
      </c>
      <c r="AZ378" s="156">
        <f>+N378-'Приложение №4'!E373</f>
        <v>0</v>
      </c>
    </row>
    <row r="379" spans="1:52" ht="15" x14ac:dyDescent="0.25">
      <c r="A379" s="122">
        <f t="shared" si="50"/>
        <v>362</v>
      </c>
      <c r="B379" s="62">
        <f t="shared" si="51"/>
        <v>362</v>
      </c>
      <c r="C379" s="62" t="s">
        <v>58</v>
      </c>
      <c r="D379" s="62" t="s">
        <v>418</v>
      </c>
      <c r="E379" s="123" t="s">
        <v>104</v>
      </c>
      <c r="F379" s="123"/>
      <c r="G379" s="123" t="s">
        <v>99</v>
      </c>
      <c r="H379" s="123" t="s">
        <v>108</v>
      </c>
      <c r="I379" s="123" t="s">
        <v>101</v>
      </c>
      <c r="J379" s="64">
        <v>3229.3</v>
      </c>
      <c r="K379" s="64">
        <v>2887.7</v>
      </c>
      <c r="L379" s="64">
        <v>0</v>
      </c>
      <c r="M379" s="124">
        <v>101</v>
      </c>
      <c r="N379" s="95">
        <f t="shared" si="49"/>
        <v>552937.23</v>
      </c>
      <c r="O379" s="64">
        <v>0</v>
      </c>
      <c r="P379" s="64"/>
      <c r="Q379" s="64"/>
      <c r="R379" s="64">
        <f>+'[12]Приложение № 4'!E352</f>
        <v>552937.23</v>
      </c>
      <c r="S379" s="64"/>
      <c r="T379" s="64"/>
      <c r="U379" s="64">
        <f t="shared" si="53"/>
        <v>191.48015029262044</v>
      </c>
      <c r="V379" s="64">
        <f t="shared" si="53"/>
        <v>191.48015029262044</v>
      </c>
      <c r="W379" s="163" t="s">
        <v>495</v>
      </c>
      <c r="X379" s="156" t="e">
        <f>+N379-#REF!</f>
        <v>#REF!</v>
      </c>
      <c r="Y379" s="153">
        <v>905869.07</v>
      </c>
      <c r="Z379" s="153">
        <f t="shared" si="56"/>
        <v>315336.83999999997</v>
      </c>
      <c r="AB379" s="156" t="e">
        <f>+N379-#REF!</f>
        <v>#REF!</v>
      </c>
      <c r="AC379" s="164">
        <f>+N379-'[12]Приложение № 4'!E352</f>
        <v>0</v>
      </c>
      <c r="AE379" s="165" t="e">
        <f>+N379-#REF!</f>
        <v>#REF!</v>
      </c>
      <c r="AG379" s="3" t="s">
        <v>418</v>
      </c>
      <c r="AH379" s="4">
        <f t="shared" ref="AH379:AH384" si="57">SUM(AI379:AW379)</f>
        <v>552937.19982719992</v>
      </c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>
        <v>528937.19982719992</v>
      </c>
      <c r="AV379" s="4">
        <v>24000</v>
      </c>
      <c r="AW379" s="4"/>
      <c r="AZ379" s="156">
        <f>+N379-'Приложение №4'!E374</f>
        <v>0</v>
      </c>
    </row>
    <row r="380" spans="1:52" ht="15" x14ac:dyDescent="0.25">
      <c r="A380" s="122">
        <f t="shared" si="50"/>
        <v>363</v>
      </c>
      <c r="B380" s="62">
        <f t="shared" si="51"/>
        <v>363</v>
      </c>
      <c r="C380" s="62" t="s">
        <v>58</v>
      </c>
      <c r="D380" s="62" t="s">
        <v>419</v>
      </c>
      <c r="E380" s="123" t="s">
        <v>104</v>
      </c>
      <c r="F380" s="123"/>
      <c r="G380" s="123" t="s">
        <v>99</v>
      </c>
      <c r="H380" s="123" t="s">
        <v>108</v>
      </c>
      <c r="I380" s="123" t="s">
        <v>101</v>
      </c>
      <c r="J380" s="64">
        <v>3185.2</v>
      </c>
      <c r="K380" s="64">
        <v>2843.6</v>
      </c>
      <c r="L380" s="64">
        <v>0</v>
      </c>
      <c r="M380" s="124">
        <v>110</v>
      </c>
      <c r="N380" s="95">
        <f t="shared" si="49"/>
        <v>553802.07999999996</v>
      </c>
      <c r="O380" s="64">
        <v>0</v>
      </c>
      <c r="P380" s="64"/>
      <c r="Q380" s="64"/>
      <c r="R380" s="64">
        <f>+'[12]Приложение № 4'!E353</f>
        <v>553802.07999999996</v>
      </c>
      <c r="S380" s="64"/>
      <c r="T380" s="64"/>
      <c r="U380" s="64">
        <f t="shared" si="53"/>
        <v>194.75386130257419</v>
      </c>
      <c r="V380" s="64">
        <f t="shared" si="53"/>
        <v>194.75386130257419</v>
      </c>
      <c r="W380" s="163" t="s">
        <v>495</v>
      </c>
      <c r="X380" s="156" t="e">
        <f>+N380-#REF!</f>
        <v>#REF!</v>
      </c>
      <c r="Y380" s="153">
        <v>873408.13</v>
      </c>
      <c r="Z380" s="153">
        <f t="shared" si="56"/>
        <v>310521.12</v>
      </c>
      <c r="AB380" s="156" t="e">
        <f>+N380-#REF!</f>
        <v>#REF!</v>
      </c>
      <c r="AC380" s="164">
        <f>+N380-'[12]Приложение № 4'!E353</f>
        <v>0</v>
      </c>
      <c r="AE380" s="165" t="e">
        <f>+N380-#REF!</f>
        <v>#REF!</v>
      </c>
      <c r="AG380" s="3" t="s">
        <v>419</v>
      </c>
      <c r="AH380" s="4">
        <f t="shared" si="57"/>
        <v>553802.07402239996</v>
      </c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>
        <v>529802.07402239996</v>
      </c>
      <c r="AV380" s="4">
        <v>24000</v>
      </c>
      <c r="AW380" s="4"/>
      <c r="AZ380" s="156">
        <f>+N380-'Приложение №4'!E375</f>
        <v>0</v>
      </c>
    </row>
    <row r="381" spans="1:52" ht="15" x14ac:dyDescent="0.25">
      <c r="A381" s="122">
        <f t="shared" si="50"/>
        <v>364</v>
      </c>
      <c r="B381" s="62">
        <f t="shared" si="51"/>
        <v>364</v>
      </c>
      <c r="C381" s="62" t="s">
        <v>58</v>
      </c>
      <c r="D381" s="62" t="s">
        <v>420</v>
      </c>
      <c r="E381" s="123" t="s">
        <v>104</v>
      </c>
      <c r="F381" s="123"/>
      <c r="G381" s="123" t="s">
        <v>99</v>
      </c>
      <c r="H381" s="123" t="s">
        <v>108</v>
      </c>
      <c r="I381" s="123" t="s">
        <v>101</v>
      </c>
      <c r="J381" s="64">
        <v>3222.6</v>
      </c>
      <c r="K381" s="64">
        <v>2881</v>
      </c>
      <c r="L381" s="64">
        <v>0</v>
      </c>
      <c r="M381" s="124">
        <v>103</v>
      </c>
      <c r="N381" s="95">
        <f t="shared" si="49"/>
        <v>576194.22</v>
      </c>
      <c r="O381" s="64">
        <v>0</v>
      </c>
      <c r="P381" s="64"/>
      <c r="Q381" s="64"/>
      <c r="R381" s="64">
        <f>+'[12]Приложение № 4'!E354</f>
        <v>576194.22</v>
      </c>
      <c r="S381" s="64"/>
      <c r="T381" s="64"/>
      <c r="U381" s="64">
        <f t="shared" si="53"/>
        <v>199.99799375216938</v>
      </c>
      <c r="V381" s="64">
        <f t="shared" si="53"/>
        <v>199.99799375216938</v>
      </c>
      <c r="W381" s="163" t="s">
        <v>495</v>
      </c>
      <c r="X381" s="156" t="e">
        <f>+N381-#REF!</f>
        <v>#REF!</v>
      </c>
      <c r="Y381" s="153">
        <v>935146.27</v>
      </c>
      <c r="Z381" s="153">
        <f t="shared" si="56"/>
        <v>314605.19999999995</v>
      </c>
      <c r="AB381" s="156" t="e">
        <f>+N381-#REF!</f>
        <v>#REF!</v>
      </c>
      <c r="AC381" s="164">
        <f>+N381-'[12]Приложение № 4'!E354</f>
        <v>0</v>
      </c>
      <c r="AE381" s="165" t="e">
        <f>+N381-#REF!</f>
        <v>#REF!</v>
      </c>
      <c r="AG381" s="3" t="s">
        <v>420</v>
      </c>
      <c r="AH381" s="4">
        <f t="shared" si="57"/>
        <v>576194.22504960001</v>
      </c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>
        <v>552194.22504960001</v>
      </c>
      <c r="AV381" s="4">
        <v>24000</v>
      </c>
      <c r="AW381" s="4"/>
      <c r="AZ381" s="156">
        <f>+N381-'Приложение №4'!E376</f>
        <v>0</v>
      </c>
    </row>
    <row r="382" spans="1:52" ht="15" x14ac:dyDescent="0.25">
      <c r="A382" s="122">
        <f t="shared" si="50"/>
        <v>365</v>
      </c>
      <c r="B382" s="62">
        <f t="shared" si="51"/>
        <v>365</v>
      </c>
      <c r="C382" s="62" t="s">
        <v>58</v>
      </c>
      <c r="D382" s="62" t="s">
        <v>421</v>
      </c>
      <c r="E382" s="123" t="s">
        <v>121</v>
      </c>
      <c r="F382" s="123"/>
      <c r="G382" s="123" t="s">
        <v>99</v>
      </c>
      <c r="H382" s="123" t="s">
        <v>108</v>
      </c>
      <c r="I382" s="123" t="s">
        <v>101</v>
      </c>
      <c r="J382" s="64">
        <v>3222.8</v>
      </c>
      <c r="K382" s="64">
        <v>2881.7</v>
      </c>
      <c r="L382" s="64">
        <v>0</v>
      </c>
      <c r="M382" s="124">
        <v>106</v>
      </c>
      <c r="N382" s="95">
        <f t="shared" si="49"/>
        <v>466481.40988416004</v>
      </c>
      <c r="O382" s="64">
        <v>0</v>
      </c>
      <c r="P382" s="64"/>
      <c r="Q382" s="64"/>
      <c r="R382" s="64">
        <f>+'[12]Приложение № 4'!E355</f>
        <v>466481.40988416004</v>
      </c>
      <c r="S382" s="64"/>
      <c r="T382" s="64"/>
      <c r="U382" s="64">
        <f t="shared" si="53"/>
        <v>161.87715927548325</v>
      </c>
      <c r="V382" s="64">
        <f t="shared" si="53"/>
        <v>161.87715927548325</v>
      </c>
      <c r="W382" s="163" t="s">
        <v>495</v>
      </c>
      <c r="X382" s="156" t="e">
        <f>+N382-#REF!</f>
        <v>#REF!</v>
      </c>
      <c r="Y382" s="153">
        <v>870752.01</v>
      </c>
      <c r="Z382" s="153">
        <f t="shared" si="56"/>
        <v>314681.63999999996</v>
      </c>
      <c r="AB382" s="156" t="e">
        <f>+N382-#REF!</f>
        <v>#REF!</v>
      </c>
      <c r="AC382" s="164">
        <f>+N382-'[12]Приложение № 4'!E355</f>
        <v>0</v>
      </c>
      <c r="AE382" s="165" t="e">
        <f>+N382-#REF!</f>
        <v>#REF!</v>
      </c>
      <c r="AG382" s="3" t="s">
        <v>421</v>
      </c>
      <c r="AH382" s="4">
        <f t="shared" si="57"/>
        <v>466481.40988416004</v>
      </c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>
        <v>442481.40988416004</v>
      </c>
      <c r="AV382" s="4">
        <v>24000</v>
      </c>
      <c r="AW382" s="4"/>
      <c r="AZ382" s="156">
        <f>+N382-'Приложение №4'!E377</f>
        <v>0</v>
      </c>
    </row>
    <row r="383" spans="1:52" ht="15" x14ac:dyDescent="0.25">
      <c r="A383" s="122">
        <f t="shared" si="50"/>
        <v>366</v>
      </c>
      <c r="B383" s="62">
        <f t="shared" si="51"/>
        <v>366</v>
      </c>
      <c r="C383" s="62" t="s">
        <v>58</v>
      </c>
      <c r="D383" s="62" t="s">
        <v>422</v>
      </c>
      <c r="E383" s="123" t="s">
        <v>107</v>
      </c>
      <c r="F383" s="123"/>
      <c r="G383" s="123" t="s">
        <v>99</v>
      </c>
      <c r="H383" s="123" t="s">
        <v>108</v>
      </c>
      <c r="I383" s="123" t="s">
        <v>101</v>
      </c>
      <c r="J383" s="64">
        <v>3222.9</v>
      </c>
      <c r="K383" s="64">
        <v>2802.8</v>
      </c>
      <c r="L383" s="64">
        <v>71.8</v>
      </c>
      <c r="M383" s="124">
        <v>93</v>
      </c>
      <c r="N383" s="95">
        <f t="shared" si="49"/>
        <v>568211.22844800004</v>
      </c>
      <c r="O383" s="64">
        <v>0</v>
      </c>
      <c r="P383" s="64"/>
      <c r="Q383" s="64"/>
      <c r="R383" s="64">
        <f>+'[12]Приложение № 4'!E356</f>
        <v>568211.22844800004</v>
      </c>
      <c r="S383" s="64"/>
      <c r="T383" s="64"/>
      <c r="U383" s="64">
        <f t="shared" si="53"/>
        <v>197.66618953871841</v>
      </c>
      <c r="V383" s="64">
        <f t="shared" si="53"/>
        <v>197.66618953871841</v>
      </c>
      <c r="W383" s="163" t="s">
        <v>495</v>
      </c>
      <c r="X383" s="156" t="e">
        <f>+N383-#REF!</f>
        <v>#REF!</v>
      </c>
      <c r="Y383" s="153">
        <v>1009349.43</v>
      </c>
      <c r="Z383" s="153">
        <f t="shared" si="56"/>
        <v>321738.26400000002</v>
      </c>
      <c r="AB383" s="156" t="e">
        <f>+N383-#REF!</f>
        <v>#REF!</v>
      </c>
      <c r="AC383" s="164">
        <f>+N383-'[12]Приложение № 4'!E356</f>
        <v>0</v>
      </c>
      <c r="AE383" s="165" t="e">
        <f>+N383-#REF!</f>
        <v>#REF!</v>
      </c>
      <c r="AG383" s="3" t="s">
        <v>422</v>
      </c>
      <c r="AH383" s="4">
        <f t="shared" si="57"/>
        <v>568211.22844800004</v>
      </c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>
        <v>544211.22844800004</v>
      </c>
      <c r="AV383" s="4">
        <v>24000</v>
      </c>
      <c r="AW383" s="4"/>
      <c r="AZ383" s="156">
        <f>+N383-'Приложение №4'!E378</f>
        <v>0</v>
      </c>
    </row>
    <row r="384" spans="1:52" ht="15" x14ac:dyDescent="0.25">
      <c r="A384" s="122">
        <f t="shared" si="50"/>
        <v>367</v>
      </c>
      <c r="B384" s="62">
        <f t="shared" si="51"/>
        <v>367</v>
      </c>
      <c r="C384" s="62" t="s">
        <v>58</v>
      </c>
      <c r="D384" s="62" t="s">
        <v>423</v>
      </c>
      <c r="E384" s="123" t="s">
        <v>135</v>
      </c>
      <c r="F384" s="123"/>
      <c r="G384" s="123" t="s">
        <v>99</v>
      </c>
      <c r="H384" s="123" t="s">
        <v>108</v>
      </c>
      <c r="I384" s="123" t="s">
        <v>101</v>
      </c>
      <c r="J384" s="64">
        <v>3192</v>
      </c>
      <c r="K384" s="64">
        <v>2860.5</v>
      </c>
      <c r="L384" s="64">
        <v>0</v>
      </c>
      <c r="M384" s="124">
        <v>116</v>
      </c>
      <c r="N384" s="95">
        <f t="shared" si="49"/>
        <v>568012.34</v>
      </c>
      <c r="O384" s="64">
        <v>0</v>
      </c>
      <c r="P384" s="64"/>
      <c r="Q384" s="64"/>
      <c r="R384" s="64">
        <f>+'[12]Приложение № 4'!E357</f>
        <v>568012.34</v>
      </c>
      <c r="S384" s="64"/>
      <c r="T384" s="64"/>
      <c r="U384" s="64">
        <f t="shared" si="53"/>
        <v>198.57099807725922</v>
      </c>
      <c r="V384" s="64">
        <f t="shared" si="53"/>
        <v>198.57099807725922</v>
      </c>
      <c r="W384" s="163" t="s">
        <v>495</v>
      </c>
      <c r="X384" s="156" t="e">
        <f>+N384-#REF!</f>
        <v>#REF!</v>
      </c>
      <c r="Y384" s="153">
        <v>925631.66</v>
      </c>
      <c r="Z384" s="153">
        <f t="shared" si="56"/>
        <v>312366.59999999998</v>
      </c>
      <c r="AB384" s="156" t="e">
        <f>+N384-#REF!</f>
        <v>#REF!</v>
      </c>
      <c r="AC384" s="164">
        <f>+N384-'[12]Приложение № 4'!E357</f>
        <v>0</v>
      </c>
      <c r="AE384" s="165" t="e">
        <f>+N384-#REF!</f>
        <v>#REF!</v>
      </c>
      <c r="AG384" s="3" t="s">
        <v>423</v>
      </c>
      <c r="AH384" s="4">
        <f t="shared" si="57"/>
        <v>568012.33132799994</v>
      </c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>
        <v>544012.33132799994</v>
      </c>
      <c r="AV384" s="4">
        <v>24000</v>
      </c>
      <c r="AW384" s="4"/>
      <c r="AZ384" s="156">
        <f>+N384-'Приложение №4'!E379</f>
        <v>0</v>
      </c>
    </row>
    <row r="385" spans="1:52" ht="15" x14ac:dyDescent="0.25">
      <c r="A385" s="122">
        <f t="shared" si="50"/>
        <v>368</v>
      </c>
      <c r="B385" s="62">
        <f t="shared" si="51"/>
        <v>368</v>
      </c>
      <c r="C385" s="62" t="s">
        <v>58</v>
      </c>
      <c r="D385" s="62" t="s">
        <v>284</v>
      </c>
      <c r="E385" s="123" t="s">
        <v>104</v>
      </c>
      <c r="F385" s="123"/>
      <c r="G385" s="123" t="s">
        <v>96</v>
      </c>
      <c r="H385" s="123" t="s">
        <v>108</v>
      </c>
      <c r="I385" s="123" t="s">
        <v>105</v>
      </c>
      <c r="J385" s="64">
        <v>4642.8999999999996</v>
      </c>
      <c r="K385" s="64">
        <v>4217.6000000000004</v>
      </c>
      <c r="L385" s="64">
        <v>0</v>
      </c>
      <c r="M385" s="124">
        <v>159</v>
      </c>
      <c r="N385" s="95">
        <f t="shared" si="49"/>
        <v>381208.15876160114</v>
      </c>
      <c r="O385" s="64">
        <v>0</v>
      </c>
      <c r="P385" s="64"/>
      <c r="Q385" s="64"/>
      <c r="R385" s="64">
        <f>+'[12]Приложение № 4'!E358</f>
        <v>381208.15876160114</v>
      </c>
      <c r="S385" s="64"/>
      <c r="T385" s="64"/>
      <c r="U385" s="64">
        <f t="shared" si="53"/>
        <v>90.385090753414531</v>
      </c>
      <c r="V385" s="64">
        <f t="shared" si="53"/>
        <v>90.385090753414531</v>
      </c>
      <c r="W385" s="163" t="s">
        <v>495</v>
      </c>
      <c r="X385" s="156" t="e">
        <f>+N385-#REF!</f>
        <v>#REF!</v>
      </c>
      <c r="Y385" s="153">
        <v>1502591.74</v>
      </c>
      <c r="Z385" s="153">
        <f>+(K385*9.1+L385*18.19)*12</f>
        <v>460561.92000000004</v>
      </c>
      <c r="AB385" s="156" t="e">
        <f>+N385-#REF!</f>
        <v>#REF!</v>
      </c>
      <c r="AC385" s="164">
        <f>+N385-'[12]Приложение № 4'!E358</f>
        <v>0</v>
      </c>
      <c r="AE385" s="165" t="e">
        <f>+N385-#REF!</f>
        <v>#REF!</v>
      </c>
      <c r="AG385" s="3" t="s">
        <v>284</v>
      </c>
      <c r="AH385" s="4">
        <f t="shared" si="34"/>
        <v>381208.15876160114</v>
      </c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>
        <v>357208.15876160114</v>
      </c>
      <c r="AV385" s="4">
        <v>24000</v>
      </c>
      <c r="AW385" s="4"/>
      <c r="AZ385" s="156">
        <f>+N385-'Приложение №4'!E380</f>
        <v>0</v>
      </c>
    </row>
    <row r="386" spans="1:52" ht="15" x14ac:dyDescent="0.25">
      <c r="A386" s="122">
        <f t="shared" si="50"/>
        <v>369</v>
      </c>
      <c r="B386" s="62">
        <f t="shared" si="51"/>
        <v>369</v>
      </c>
      <c r="C386" s="62" t="s">
        <v>58</v>
      </c>
      <c r="D386" s="62" t="s">
        <v>285</v>
      </c>
      <c r="E386" s="123" t="s">
        <v>120</v>
      </c>
      <c r="F386" s="123"/>
      <c r="G386" s="123" t="s">
        <v>99</v>
      </c>
      <c r="H386" s="123" t="s">
        <v>108</v>
      </c>
      <c r="I386" s="123" t="s">
        <v>101</v>
      </c>
      <c r="J386" s="64">
        <v>3237.5</v>
      </c>
      <c r="K386" s="64">
        <v>2890.4</v>
      </c>
      <c r="L386" s="64">
        <v>0</v>
      </c>
      <c r="M386" s="124">
        <v>123</v>
      </c>
      <c r="N386" s="95">
        <f t="shared" si="49"/>
        <v>324873.81914350996</v>
      </c>
      <c r="O386" s="64">
        <v>0</v>
      </c>
      <c r="P386" s="64"/>
      <c r="Q386" s="64"/>
      <c r="R386" s="64">
        <f>+'[12]Приложение № 4'!E359</f>
        <v>324873.81914350996</v>
      </c>
      <c r="S386" s="64"/>
      <c r="T386" s="64"/>
      <c r="U386" s="64">
        <f t="shared" si="53"/>
        <v>112.39752945734499</v>
      </c>
      <c r="V386" s="64">
        <f t="shared" si="53"/>
        <v>112.39752945734499</v>
      </c>
      <c r="W386" s="163" t="s">
        <v>495</v>
      </c>
      <c r="X386" s="156" t="e">
        <f>+N386-#REF!</f>
        <v>#REF!</v>
      </c>
      <c r="Y386" s="153">
        <v>1139949.94</v>
      </c>
      <c r="Z386" s="153">
        <f>+(K386*9.1+L386*18.19)*12</f>
        <v>315631.68</v>
      </c>
      <c r="AB386" s="156" t="e">
        <f>+N386-#REF!</f>
        <v>#REF!</v>
      </c>
      <c r="AC386" s="164">
        <f>+N386-'[12]Приложение № 4'!E359</f>
        <v>0</v>
      </c>
      <c r="AE386" s="165" t="e">
        <f>+N386-#REF!</f>
        <v>#REF!</v>
      </c>
      <c r="AG386" s="3" t="s">
        <v>285</v>
      </c>
      <c r="AH386" s="4">
        <f t="shared" si="34"/>
        <v>324873.81914350996</v>
      </c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>
        <v>300873.81914350996</v>
      </c>
      <c r="AV386" s="4">
        <v>24000</v>
      </c>
      <c r="AW386" s="4"/>
      <c r="AZ386" s="156">
        <f>+N386-'Приложение №4'!E381</f>
        <v>0</v>
      </c>
    </row>
    <row r="387" spans="1:52" ht="15" x14ac:dyDescent="0.25">
      <c r="A387" s="122">
        <f t="shared" si="50"/>
        <v>370</v>
      </c>
      <c r="B387" s="62">
        <f t="shared" si="51"/>
        <v>370</v>
      </c>
      <c r="C387" s="62" t="s">
        <v>512</v>
      </c>
      <c r="D387" s="62" t="s">
        <v>283</v>
      </c>
      <c r="E387" s="123" t="s">
        <v>117</v>
      </c>
      <c r="F387" s="123"/>
      <c r="G387" s="123" t="s">
        <v>96</v>
      </c>
      <c r="H387" s="123" t="s">
        <v>108</v>
      </c>
      <c r="I387" s="123" t="s">
        <v>130</v>
      </c>
      <c r="J387" s="64">
        <v>8947.2000000000007</v>
      </c>
      <c r="K387" s="64">
        <v>7717.5</v>
      </c>
      <c r="L387" s="64">
        <v>71.5</v>
      </c>
      <c r="M387" s="124">
        <v>431</v>
      </c>
      <c r="N387" s="95">
        <f t="shared" si="49"/>
        <v>1851214.5910470171</v>
      </c>
      <c r="O387" s="64">
        <v>0</v>
      </c>
      <c r="P387" s="64"/>
      <c r="Q387" s="64"/>
      <c r="R387" s="64">
        <f>+'[12]Приложение № 4'!E360</f>
        <v>1851214.5910470171</v>
      </c>
      <c r="S387" s="64"/>
      <c r="T387" s="64"/>
      <c r="U387" s="64">
        <f t="shared" si="53"/>
        <v>237.67038015753204</v>
      </c>
      <c r="V387" s="64">
        <f t="shared" si="53"/>
        <v>237.67038015753204</v>
      </c>
      <c r="W387" s="163" t="s">
        <v>495</v>
      </c>
      <c r="X387" s="156" t="e">
        <f>+N387-#REF!</f>
        <v>#REF!</v>
      </c>
      <c r="Y387" s="153">
        <v>2335673.86</v>
      </c>
      <c r="Z387" s="153">
        <f>+(K387*9.1+L387*18.19)*12</f>
        <v>858358.02</v>
      </c>
      <c r="AB387" s="156" t="e">
        <f>+N387-#REF!</f>
        <v>#REF!</v>
      </c>
      <c r="AC387" s="164">
        <f>+N387-'[12]Приложение № 4'!E360</f>
        <v>0</v>
      </c>
      <c r="AE387" s="165" t="e">
        <f>+N387-#REF!</f>
        <v>#REF!</v>
      </c>
      <c r="AG387" s="3" t="s">
        <v>283</v>
      </c>
      <c r="AH387" s="4">
        <f>SUM(AI387:AW387)</f>
        <v>1863214.5910470169</v>
      </c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>
        <v>1810932.667872617</v>
      </c>
      <c r="AV387" s="4">
        <v>52281.923174399999</v>
      </c>
      <c r="AW387" s="4"/>
      <c r="AZ387" s="156">
        <f>+N387-'Приложение №4'!E382</f>
        <v>0</v>
      </c>
    </row>
    <row r="388" spans="1:52" ht="15" x14ac:dyDescent="0.25">
      <c r="A388" s="122">
        <f t="shared" si="50"/>
        <v>371</v>
      </c>
      <c r="B388" s="62">
        <f t="shared" si="51"/>
        <v>371</v>
      </c>
      <c r="C388" s="62" t="s">
        <v>512</v>
      </c>
      <c r="D388" s="62" t="s">
        <v>573</v>
      </c>
      <c r="E388" s="123">
        <v>1974</v>
      </c>
      <c r="F388" s="123">
        <v>1974</v>
      </c>
      <c r="G388" s="123" t="s">
        <v>48</v>
      </c>
      <c r="H388" s="123">
        <v>2</v>
      </c>
      <c r="I388" s="123">
        <v>3</v>
      </c>
      <c r="J388" s="64">
        <v>557.20000000000005</v>
      </c>
      <c r="K388" s="64">
        <v>492.5</v>
      </c>
      <c r="L388" s="64">
        <v>0</v>
      </c>
      <c r="M388" s="124">
        <v>38</v>
      </c>
      <c r="N388" s="95">
        <f t="shared" si="49"/>
        <v>77313.759999999995</v>
      </c>
      <c r="O388" s="64"/>
      <c r="P388" s="65"/>
      <c r="Q388" s="65"/>
      <c r="R388" s="64">
        <f>+'[12]Приложение № 4'!E361</f>
        <v>77313.759999999995</v>
      </c>
      <c r="S388" s="65"/>
      <c r="T388" s="65"/>
      <c r="U388" s="64">
        <f t="shared" si="53"/>
        <v>156.98225380710659</v>
      </c>
      <c r="V388" s="64">
        <f t="shared" si="53"/>
        <v>156.98225380710659</v>
      </c>
      <c r="W388" s="163" t="s">
        <v>495</v>
      </c>
      <c r="X388" s="157"/>
      <c r="Y388" s="158"/>
      <c r="Z388" s="158"/>
      <c r="AA388" s="158"/>
      <c r="AC388" s="164">
        <f>+N388-'[12]Приложение № 4'!E361</f>
        <v>0</v>
      </c>
      <c r="AZ388" s="156">
        <f>+N388-'Приложение №4'!E383</f>
        <v>0</v>
      </c>
    </row>
    <row r="389" spans="1:52" ht="15" x14ac:dyDescent="0.25">
      <c r="A389" s="122">
        <f t="shared" si="50"/>
        <v>372</v>
      </c>
      <c r="B389" s="62">
        <f t="shared" si="51"/>
        <v>372</v>
      </c>
      <c r="C389" s="62" t="s">
        <v>512</v>
      </c>
      <c r="D389" s="62" t="s">
        <v>574</v>
      </c>
      <c r="E389" s="123">
        <v>1974</v>
      </c>
      <c r="F389" s="123">
        <v>1974</v>
      </c>
      <c r="G389" s="123" t="s">
        <v>48</v>
      </c>
      <c r="H389" s="123">
        <v>2</v>
      </c>
      <c r="I389" s="123">
        <v>3</v>
      </c>
      <c r="J389" s="64">
        <v>564</v>
      </c>
      <c r="K389" s="64">
        <v>489.4</v>
      </c>
      <c r="L389" s="64">
        <v>0</v>
      </c>
      <c r="M389" s="124">
        <v>22</v>
      </c>
      <c r="N389" s="95">
        <f t="shared" si="49"/>
        <v>85409.67</v>
      </c>
      <c r="O389" s="64"/>
      <c r="P389" s="65"/>
      <c r="Q389" s="65"/>
      <c r="R389" s="64">
        <f>+'[12]Приложение № 4'!E362</f>
        <v>85409.67</v>
      </c>
      <c r="S389" s="65"/>
      <c r="T389" s="65"/>
      <c r="U389" s="64">
        <f t="shared" si="53"/>
        <v>174.51914589293011</v>
      </c>
      <c r="V389" s="64">
        <f t="shared" si="53"/>
        <v>174.51914589293011</v>
      </c>
      <c r="W389" s="163" t="s">
        <v>495</v>
      </c>
      <c r="X389" s="157"/>
      <c r="Y389" s="158"/>
      <c r="Z389" s="158"/>
      <c r="AA389" s="158"/>
      <c r="AC389" s="164">
        <f>+N389-'[12]Приложение № 4'!E362</f>
        <v>0</v>
      </c>
      <c r="AZ389" s="156">
        <f>+N389-'Приложение №4'!E384</f>
        <v>0</v>
      </c>
    </row>
    <row r="390" spans="1:52" ht="15" x14ac:dyDescent="0.25">
      <c r="A390" s="122">
        <f t="shared" si="50"/>
        <v>373</v>
      </c>
      <c r="B390" s="62">
        <f t="shared" si="51"/>
        <v>373</v>
      </c>
      <c r="C390" s="62" t="s">
        <v>73</v>
      </c>
      <c r="D390" s="62" t="s">
        <v>424</v>
      </c>
      <c r="E390" s="123" t="s">
        <v>103</v>
      </c>
      <c r="F390" s="123"/>
      <c r="G390" s="123" t="s">
        <v>96</v>
      </c>
      <c r="H390" s="123" t="s">
        <v>98</v>
      </c>
      <c r="I390" s="123" t="s">
        <v>98</v>
      </c>
      <c r="J390" s="64">
        <v>1089.5</v>
      </c>
      <c r="K390" s="64">
        <v>974.3</v>
      </c>
      <c r="L390" s="64">
        <v>0</v>
      </c>
      <c r="M390" s="124">
        <v>43</v>
      </c>
      <c r="N390" s="95">
        <f t="shared" si="49"/>
        <v>143639</v>
      </c>
      <c r="O390" s="64">
        <v>0</v>
      </c>
      <c r="P390" s="64"/>
      <c r="Q390" s="64"/>
      <c r="R390" s="64">
        <f>+'[12]Приложение № 4'!E363</f>
        <v>143639</v>
      </c>
      <c r="S390" s="64"/>
      <c r="T390" s="64"/>
      <c r="U390" s="64">
        <f t="shared" si="53"/>
        <v>147.4278969516576</v>
      </c>
      <c r="V390" s="64">
        <f t="shared" si="53"/>
        <v>147.4278969516576</v>
      </c>
      <c r="W390" s="163" t="s">
        <v>495</v>
      </c>
      <c r="X390" s="156" t="e">
        <f>+N390-#REF!</f>
        <v>#REF!</v>
      </c>
      <c r="Y390" s="153">
        <v>352248.33</v>
      </c>
      <c r="Z390" s="153">
        <f>+(K390*9.1+L390*18.19)*12</f>
        <v>106393.56</v>
      </c>
      <c r="AB390" s="156" t="e">
        <f>+N390-#REF!</f>
        <v>#REF!</v>
      </c>
      <c r="AC390" s="164">
        <f>+N390-'[12]Приложение № 4'!E363</f>
        <v>0</v>
      </c>
      <c r="AE390" s="165" t="e">
        <f>+N390-#REF!</f>
        <v>#REF!</v>
      </c>
      <c r="AG390" s="3" t="s">
        <v>424</v>
      </c>
      <c r="AH390" s="4">
        <f>SUM(AI390:AW390)</f>
        <v>149503.71160500863</v>
      </c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>
        <v>125503.71160500865</v>
      </c>
      <c r="AV390" s="4">
        <v>24000</v>
      </c>
      <c r="AW390" s="4"/>
      <c r="AZ390" s="156">
        <f>+N390-'Приложение №4'!E385</f>
        <v>0</v>
      </c>
    </row>
    <row r="391" spans="1:52" ht="15" x14ac:dyDescent="0.25">
      <c r="A391" s="122">
        <f t="shared" si="50"/>
        <v>374</v>
      </c>
      <c r="B391" s="62">
        <f t="shared" si="51"/>
        <v>374</v>
      </c>
      <c r="C391" s="62" t="s">
        <v>73</v>
      </c>
      <c r="D391" s="62" t="s">
        <v>286</v>
      </c>
      <c r="E391" s="123" t="s">
        <v>133</v>
      </c>
      <c r="F391" s="123"/>
      <c r="G391" s="123" t="s">
        <v>96</v>
      </c>
      <c r="H391" s="123" t="s">
        <v>105</v>
      </c>
      <c r="I391" s="123" t="s">
        <v>105</v>
      </c>
      <c r="J391" s="64">
        <v>2926.4</v>
      </c>
      <c r="K391" s="64">
        <v>2686.08</v>
      </c>
      <c r="L391" s="64">
        <v>0</v>
      </c>
      <c r="M391" s="124">
        <v>193</v>
      </c>
      <c r="N391" s="95">
        <f t="shared" si="49"/>
        <v>188216.97</v>
      </c>
      <c r="O391" s="64">
        <v>0</v>
      </c>
      <c r="P391" s="64"/>
      <c r="Q391" s="64"/>
      <c r="R391" s="64">
        <f>+'[12]Приложение № 4'!E364</f>
        <v>188216.97</v>
      </c>
      <c r="S391" s="64"/>
      <c r="T391" s="64"/>
      <c r="U391" s="64">
        <f t="shared" si="53"/>
        <v>70.071245085775558</v>
      </c>
      <c r="V391" s="64">
        <f t="shared" si="53"/>
        <v>70.071245085775558</v>
      </c>
      <c r="W391" s="163" t="s">
        <v>495</v>
      </c>
      <c r="X391" s="156" t="e">
        <f>+N391-#REF!</f>
        <v>#REF!</v>
      </c>
      <c r="Y391" s="153">
        <v>948903.12</v>
      </c>
      <c r="Z391" s="153">
        <f>+(K391*9.1+L391*18.19)*12</f>
        <v>293319.93599999999</v>
      </c>
      <c r="AB391" s="156" t="e">
        <f>+N391-#REF!</f>
        <v>#REF!</v>
      </c>
      <c r="AC391" s="164">
        <f>+N391-'[12]Приложение № 4'!E364</f>
        <v>0</v>
      </c>
      <c r="AE391" s="165" t="e">
        <f>+N391-#REF!</f>
        <v>#REF!</v>
      </c>
      <c r="AG391" s="3" t="s">
        <v>286</v>
      </c>
      <c r="AH391" s="4">
        <f t="shared" si="34"/>
        <v>205151.11987200001</v>
      </c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>
        <v>181151.11987200001</v>
      </c>
      <c r="AV391" s="4">
        <v>24000</v>
      </c>
      <c r="AW391" s="4"/>
      <c r="AZ391" s="156">
        <f>+N391-'Приложение №4'!E386</f>
        <v>0</v>
      </c>
    </row>
    <row r="392" spans="1:52" ht="15" x14ac:dyDescent="0.25">
      <c r="A392" s="122">
        <f t="shared" si="50"/>
        <v>375</v>
      </c>
      <c r="B392" s="62">
        <f t="shared" si="51"/>
        <v>375</v>
      </c>
      <c r="C392" s="62" t="s">
        <v>73</v>
      </c>
      <c r="D392" s="62" t="s">
        <v>575</v>
      </c>
      <c r="E392" s="123">
        <v>1973</v>
      </c>
      <c r="F392" s="123">
        <v>2013</v>
      </c>
      <c r="G392" s="123" t="s">
        <v>43</v>
      </c>
      <c r="H392" s="123">
        <v>4</v>
      </c>
      <c r="I392" s="123">
        <v>2</v>
      </c>
      <c r="J392" s="64">
        <v>2006.28</v>
      </c>
      <c r="K392" s="64">
        <v>1801.9</v>
      </c>
      <c r="L392" s="64">
        <v>0</v>
      </c>
      <c r="M392" s="124">
        <v>77</v>
      </c>
      <c r="N392" s="95">
        <f t="shared" si="49"/>
        <v>154976.76</v>
      </c>
      <c r="O392" s="64"/>
      <c r="P392" s="64"/>
      <c r="Q392" s="64"/>
      <c r="R392" s="64">
        <f>+'Приложение №4'!E387</f>
        <v>154976.76</v>
      </c>
      <c r="S392" s="64"/>
      <c r="T392" s="64"/>
      <c r="U392" s="64">
        <f t="shared" si="53"/>
        <v>86.007414395915418</v>
      </c>
      <c r="V392" s="64">
        <f t="shared" si="53"/>
        <v>86.007414395915418</v>
      </c>
      <c r="W392" s="163" t="s">
        <v>495</v>
      </c>
      <c r="AC392" s="164">
        <f>+N392-'[12]Приложение № 4'!E365</f>
        <v>24000.000000000015</v>
      </c>
      <c r="AG392" s="172" t="s">
        <v>576</v>
      </c>
      <c r="AH392" s="4">
        <f>SUM(AI392:AW392)</f>
        <v>530779.91669999994</v>
      </c>
      <c r="AI392" s="167"/>
      <c r="AJ392" s="167"/>
      <c r="AK392" s="167"/>
      <c r="AL392" s="167"/>
      <c r="AM392" s="167"/>
      <c r="AN392" s="167"/>
      <c r="AO392" s="167"/>
      <c r="AP392" s="167"/>
      <c r="AQ392" s="167"/>
      <c r="AR392" s="167"/>
      <c r="AS392" s="167"/>
      <c r="AT392" s="167"/>
      <c r="AU392" s="167">
        <v>482527.19699999999</v>
      </c>
      <c r="AV392" s="168">
        <v>48252.719700000001</v>
      </c>
      <c r="AW392" s="168"/>
      <c r="AZ392" s="156">
        <f>+N392-'Приложение №4'!E387</f>
        <v>0</v>
      </c>
    </row>
    <row r="393" spans="1:52" ht="15" x14ac:dyDescent="0.25">
      <c r="A393" s="122">
        <f t="shared" si="50"/>
        <v>376</v>
      </c>
      <c r="B393" s="62">
        <f t="shared" si="51"/>
        <v>376</v>
      </c>
      <c r="C393" s="62" t="s">
        <v>517</v>
      </c>
      <c r="D393" s="62" t="s">
        <v>462</v>
      </c>
      <c r="E393" s="123" t="s">
        <v>104</v>
      </c>
      <c r="F393" s="123"/>
      <c r="G393" s="123" t="s">
        <v>96</v>
      </c>
      <c r="H393" s="123" t="s">
        <v>108</v>
      </c>
      <c r="I393" s="123" t="s">
        <v>101</v>
      </c>
      <c r="J393" s="64">
        <v>2862</v>
      </c>
      <c r="K393" s="64">
        <v>2862</v>
      </c>
      <c r="L393" s="64">
        <v>0</v>
      </c>
      <c r="M393" s="124">
        <v>95</v>
      </c>
      <c r="N393" s="95">
        <f t="shared" si="49"/>
        <v>455299.98</v>
      </c>
      <c r="O393" s="64">
        <v>0</v>
      </c>
      <c r="P393" s="64">
        <v>69820.05</v>
      </c>
      <c r="Q393" s="64"/>
      <c r="R393" s="64">
        <f>+'Приложение №4'!E388-'Приложение №3'!P393</f>
        <v>385479.93</v>
      </c>
      <c r="S393" s="64"/>
      <c r="T393" s="64"/>
      <c r="U393" s="64">
        <f t="shared" si="53"/>
        <v>159.08454926624736</v>
      </c>
      <c r="V393" s="64">
        <f t="shared" si="53"/>
        <v>159.08454926624736</v>
      </c>
      <c r="W393" s="163" t="s">
        <v>495</v>
      </c>
      <c r="X393" s="156" t="e">
        <f>+N393-#REF!</f>
        <v>#REF!</v>
      </c>
      <c r="Y393" s="153">
        <v>830530.88</v>
      </c>
      <c r="Z393" s="153">
        <f>+(K393*9.1+L393*18.19)*12</f>
        <v>312530.40000000002</v>
      </c>
      <c r="AB393" s="156" t="e">
        <f>+N393-#REF!</f>
        <v>#REF!</v>
      </c>
      <c r="AC393" s="164">
        <f>+N393-'[12]Приложение № 4'!E366</f>
        <v>0</v>
      </c>
      <c r="AE393" s="165" t="e">
        <f>+N393-#REF!</f>
        <v>#REF!</v>
      </c>
      <c r="AG393" s="3" t="s">
        <v>462</v>
      </c>
      <c r="AH393" s="4">
        <f>SUM(AI393:AW393)</f>
        <v>469299.97303296003</v>
      </c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>
        <v>445299.97303296003</v>
      </c>
      <c r="AV393" s="4">
        <v>24000</v>
      </c>
      <c r="AW393" s="4"/>
      <c r="AZ393" s="156">
        <f>+N393-'Приложение №4'!E388</f>
        <v>0</v>
      </c>
    </row>
    <row r="394" spans="1:52" ht="15" x14ac:dyDescent="0.25">
      <c r="A394" s="122">
        <f t="shared" si="50"/>
        <v>377</v>
      </c>
      <c r="B394" s="62">
        <f t="shared" si="51"/>
        <v>377</v>
      </c>
      <c r="C394" s="62" t="s">
        <v>517</v>
      </c>
      <c r="D394" s="62" t="s">
        <v>352</v>
      </c>
      <c r="E394" s="123" t="s">
        <v>514</v>
      </c>
      <c r="F394" s="123"/>
      <c r="G394" s="123" t="s">
        <v>96</v>
      </c>
      <c r="H394" s="123" t="s">
        <v>108</v>
      </c>
      <c r="I394" s="123" t="s">
        <v>98</v>
      </c>
      <c r="J394" s="64">
        <v>1546</v>
      </c>
      <c r="K394" s="64">
        <v>1546</v>
      </c>
      <c r="L394" s="64">
        <v>0</v>
      </c>
      <c r="M394" s="124">
        <v>31</v>
      </c>
      <c r="N394" s="95">
        <f t="shared" si="49"/>
        <v>1132732.07</v>
      </c>
      <c r="O394" s="64">
        <v>0</v>
      </c>
      <c r="P394" s="64">
        <v>159296.46</v>
      </c>
      <c r="Q394" s="64"/>
      <c r="R394" s="64">
        <f>+'Приложение №4'!E389-'Приложение №3'!P394</f>
        <v>973435.6100000001</v>
      </c>
      <c r="S394" s="64"/>
      <c r="T394" s="64"/>
      <c r="U394" s="64">
        <f t="shared" si="53"/>
        <v>732.68568564036229</v>
      </c>
      <c r="V394" s="64">
        <f t="shared" si="53"/>
        <v>732.68568564036229</v>
      </c>
      <c r="W394" s="163" t="s">
        <v>495</v>
      </c>
      <c r="X394" s="156" t="e">
        <f>+N394-#REF!</f>
        <v>#REF!</v>
      </c>
      <c r="Y394" s="153">
        <v>391109.29</v>
      </c>
      <c r="Z394" s="153">
        <f t="shared" ref="Z394:Z399" si="58">+(K394*9.1+L394*18.19)*12</f>
        <v>168823.19999999998</v>
      </c>
      <c r="AB394" s="156" t="e">
        <f>+N394-#REF!</f>
        <v>#REF!</v>
      </c>
      <c r="AC394" s="164">
        <f>+N394-'[12]Приложение № 4'!E367</f>
        <v>0</v>
      </c>
      <c r="AE394" s="165" t="e">
        <f>+N394-#REF!</f>
        <v>#REF!</v>
      </c>
      <c r="AG394" s="3" t="s">
        <v>352</v>
      </c>
      <c r="AH394" s="4">
        <f t="shared" ref="AH394:AH424" si="59">SUM(AI394:AW394)</f>
        <v>482996.81420088082</v>
      </c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>
        <v>458996.81420088082</v>
      </c>
      <c r="AV394" s="4">
        <v>24000</v>
      </c>
      <c r="AW394" s="4"/>
      <c r="AZ394" s="156">
        <f>+N394-'Приложение №4'!E389</f>
        <v>0</v>
      </c>
    </row>
    <row r="395" spans="1:52" ht="15" x14ac:dyDescent="0.25">
      <c r="A395" s="122">
        <f t="shared" si="50"/>
        <v>378</v>
      </c>
      <c r="B395" s="62">
        <f t="shared" si="51"/>
        <v>378</v>
      </c>
      <c r="C395" s="62" t="s">
        <v>517</v>
      </c>
      <c r="D395" s="62" t="s">
        <v>353</v>
      </c>
      <c r="E395" s="123" t="s">
        <v>113</v>
      </c>
      <c r="F395" s="123"/>
      <c r="G395" s="123" t="s">
        <v>96</v>
      </c>
      <c r="H395" s="123" t="s">
        <v>108</v>
      </c>
      <c r="I395" s="123" t="s">
        <v>98</v>
      </c>
      <c r="J395" s="64">
        <v>1587.7</v>
      </c>
      <c r="K395" s="64">
        <v>1587.7</v>
      </c>
      <c r="L395" s="64">
        <v>0</v>
      </c>
      <c r="M395" s="124">
        <v>40</v>
      </c>
      <c r="N395" s="95">
        <f t="shared" si="49"/>
        <v>1137143.08</v>
      </c>
      <c r="O395" s="64">
        <v>0</v>
      </c>
      <c r="P395" s="64">
        <v>159900.57999999999</v>
      </c>
      <c r="Q395" s="64"/>
      <c r="R395" s="64">
        <f>+'Приложение №4'!E390-'Приложение №3'!P395</f>
        <v>977242.50000000012</v>
      </c>
      <c r="S395" s="64"/>
      <c r="T395" s="64"/>
      <c r="U395" s="64">
        <f t="shared" si="53"/>
        <v>716.22036908735913</v>
      </c>
      <c r="V395" s="64">
        <f t="shared" si="53"/>
        <v>716.22036908735913</v>
      </c>
      <c r="W395" s="163" t="s">
        <v>495</v>
      </c>
      <c r="X395" s="156" t="e">
        <f>+N395-#REF!</f>
        <v>#REF!</v>
      </c>
      <c r="Y395" s="153">
        <v>574766.24</v>
      </c>
      <c r="Z395" s="153">
        <f t="shared" si="58"/>
        <v>173376.84</v>
      </c>
      <c r="AB395" s="156" t="e">
        <f>+N395-#REF!</f>
        <v>#REF!</v>
      </c>
      <c r="AC395" s="164">
        <f>+N395-'[12]Приложение № 4'!E368</f>
        <v>0</v>
      </c>
      <c r="AE395" s="165" t="e">
        <f>+N395-#REF!</f>
        <v>#REF!</v>
      </c>
      <c r="AG395" s="3" t="s">
        <v>353</v>
      </c>
      <c r="AH395" s="4">
        <f t="shared" si="59"/>
        <v>484890.68724627327</v>
      </c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>
        <v>460890.68724627327</v>
      </c>
      <c r="AV395" s="4">
        <v>24000</v>
      </c>
      <c r="AW395" s="4"/>
      <c r="AZ395" s="156">
        <f>+N395-'Приложение №4'!E390</f>
        <v>0</v>
      </c>
    </row>
    <row r="396" spans="1:52" ht="15" x14ac:dyDescent="0.25">
      <c r="A396" s="122">
        <f t="shared" si="50"/>
        <v>379</v>
      </c>
      <c r="B396" s="62">
        <f t="shared" si="51"/>
        <v>379</v>
      </c>
      <c r="C396" s="62" t="s">
        <v>517</v>
      </c>
      <c r="D396" s="62" t="s">
        <v>354</v>
      </c>
      <c r="E396" s="123" t="s">
        <v>514</v>
      </c>
      <c r="F396" s="123"/>
      <c r="G396" s="123" t="s">
        <v>96</v>
      </c>
      <c r="H396" s="123" t="s">
        <v>108</v>
      </c>
      <c r="I396" s="123" t="s">
        <v>98</v>
      </c>
      <c r="J396" s="64">
        <v>1534.6</v>
      </c>
      <c r="K396" s="64">
        <v>1375.4</v>
      </c>
      <c r="L396" s="64">
        <v>159.19999999999999</v>
      </c>
      <c r="M396" s="124">
        <v>60</v>
      </c>
      <c r="N396" s="95">
        <f t="shared" si="49"/>
        <v>1133197.49</v>
      </c>
      <c r="O396" s="64">
        <v>0</v>
      </c>
      <c r="P396" s="64">
        <v>159360.20000000001</v>
      </c>
      <c r="Q396" s="64"/>
      <c r="R396" s="64">
        <f>+'Приложение №4'!E391-'Приложение №3'!P396</f>
        <v>973837.29</v>
      </c>
      <c r="S396" s="64"/>
      <c r="T396" s="64"/>
      <c r="U396" s="64">
        <f t="shared" si="53"/>
        <v>738.43183239932227</v>
      </c>
      <c r="V396" s="64">
        <f t="shared" si="53"/>
        <v>738.43183239932227</v>
      </c>
      <c r="W396" s="163" t="s">
        <v>495</v>
      </c>
      <c r="X396" s="156" t="e">
        <f>+N396-#REF!</f>
        <v>#REF!</v>
      </c>
      <c r="Y396" s="153">
        <v>550132.54</v>
      </c>
      <c r="Z396" s="153">
        <f t="shared" si="58"/>
        <v>184943.85600000003</v>
      </c>
      <c r="AB396" s="156" t="e">
        <f>+N396-#REF!</f>
        <v>#REF!</v>
      </c>
      <c r="AC396" s="164">
        <f>+N396-'[12]Приложение № 4'!E369</f>
        <v>0</v>
      </c>
      <c r="AE396" s="165" t="e">
        <f>+N396-#REF!</f>
        <v>#REF!</v>
      </c>
      <c r="AG396" s="3" t="s">
        <v>354</v>
      </c>
      <c r="AH396" s="4">
        <f t="shared" si="59"/>
        <v>483196.64732797258</v>
      </c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>
        <v>459196.64732797258</v>
      </c>
      <c r="AV396" s="4">
        <v>24000</v>
      </c>
      <c r="AW396" s="4"/>
      <c r="AZ396" s="156">
        <f>+N396-'Приложение №4'!E391</f>
        <v>0</v>
      </c>
    </row>
    <row r="397" spans="1:52" ht="15" x14ac:dyDescent="0.25">
      <c r="A397" s="122">
        <f t="shared" si="50"/>
        <v>380</v>
      </c>
      <c r="B397" s="62">
        <f t="shared" si="51"/>
        <v>380</v>
      </c>
      <c r="C397" s="62" t="s">
        <v>517</v>
      </c>
      <c r="D397" s="62" t="s">
        <v>355</v>
      </c>
      <c r="E397" s="123" t="s">
        <v>514</v>
      </c>
      <c r="F397" s="123"/>
      <c r="G397" s="123" t="s">
        <v>96</v>
      </c>
      <c r="H397" s="123" t="s">
        <v>108</v>
      </c>
      <c r="I397" s="123" t="s">
        <v>101</v>
      </c>
      <c r="J397" s="64">
        <v>2347.6</v>
      </c>
      <c r="K397" s="64">
        <v>1984.5</v>
      </c>
      <c r="L397" s="64">
        <v>363.1</v>
      </c>
      <c r="M397" s="124">
        <v>72</v>
      </c>
      <c r="N397" s="95">
        <f t="shared" si="49"/>
        <v>1385746.94</v>
      </c>
      <c r="O397" s="64">
        <v>0</v>
      </c>
      <c r="P397" s="64">
        <v>168659.74</v>
      </c>
      <c r="Q397" s="64"/>
      <c r="R397" s="64">
        <f>+'Приложение №4'!E392-'Приложение №3'!P397</f>
        <v>1217087.2</v>
      </c>
      <c r="S397" s="64"/>
      <c r="T397" s="64"/>
      <c r="U397" s="64">
        <f t="shared" si="53"/>
        <v>590.28239052649519</v>
      </c>
      <c r="V397" s="64">
        <f t="shared" si="53"/>
        <v>590.28239052649519</v>
      </c>
      <c r="W397" s="163" t="s">
        <v>495</v>
      </c>
      <c r="X397" s="156" t="e">
        <f>+N397-#REF!</f>
        <v>#REF!</v>
      </c>
      <c r="Y397" s="153">
        <v>612298.5</v>
      </c>
      <c r="Z397" s="153">
        <f t="shared" si="58"/>
        <v>295964.86800000002</v>
      </c>
      <c r="AB397" s="156" t="e">
        <f>+N397-#REF!</f>
        <v>#REF!</v>
      </c>
      <c r="AC397" s="164">
        <f>+N397-'[12]Приложение № 4'!E370</f>
        <v>0</v>
      </c>
      <c r="AE397" s="165" t="e">
        <f>+N397-#REF!</f>
        <v>#REF!</v>
      </c>
      <c r="AG397" s="3" t="s">
        <v>355</v>
      </c>
      <c r="AH397" s="4">
        <f t="shared" si="59"/>
        <v>696997.99884051015</v>
      </c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>
        <v>672997.99884051015</v>
      </c>
      <c r="AV397" s="4">
        <v>24000</v>
      </c>
      <c r="AW397" s="4"/>
      <c r="AZ397" s="156">
        <f>+N397-'Приложение №4'!E392</f>
        <v>0</v>
      </c>
    </row>
    <row r="398" spans="1:52" ht="15" x14ac:dyDescent="0.25">
      <c r="A398" s="122">
        <f t="shared" si="50"/>
        <v>381</v>
      </c>
      <c r="B398" s="62">
        <f t="shared" si="51"/>
        <v>381</v>
      </c>
      <c r="C398" s="62" t="s">
        <v>517</v>
      </c>
      <c r="D398" s="62" t="s">
        <v>356</v>
      </c>
      <c r="E398" s="123" t="s">
        <v>111</v>
      </c>
      <c r="F398" s="123"/>
      <c r="G398" s="123" t="s">
        <v>96</v>
      </c>
      <c r="H398" s="123" t="s">
        <v>108</v>
      </c>
      <c r="I398" s="123" t="s">
        <v>98</v>
      </c>
      <c r="J398" s="64">
        <v>1566.3</v>
      </c>
      <c r="K398" s="64">
        <v>1406</v>
      </c>
      <c r="L398" s="64">
        <v>160.30000000000001</v>
      </c>
      <c r="M398" s="124">
        <v>49</v>
      </c>
      <c r="N398" s="95">
        <f t="shared" si="49"/>
        <v>1143521.6100000001</v>
      </c>
      <c r="O398" s="64">
        <v>0</v>
      </c>
      <c r="P398" s="64">
        <v>160774.16</v>
      </c>
      <c r="Q398" s="64"/>
      <c r="R398" s="64">
        <f>+'Приложение №4'!E393-'Приложение №3'!P398</f>
        <v>982747.45000000007</v>
      </c>
      <c r="S398" s="64"/>
      <c r="T398" s="64"/>
      <c r="U398" s="64">
        <f t="shared" si="53"/>
        <v>730.07828002298425</v>
      </c>
      <c r="V398" s="64">
        <f t="shared" si="53"/>
        <v>730.07828002298425</v>
      </c>
      <c r="W398" s="163" t="s">
        <v>495</v>
      </c>
      <c r="X398" s="156" t="e">
        <f>+N398-#REF!</f>
        <v>#REF!</v>
      </c>
      <c r="Y398" s="153">
        <v>468994.28</v>
      </c>
      <c r="Z398" s="153">
        <f t="shared" si="58"/>
        <v>188525.484</v>
      </c>
      <c r="AB398" s="156" t="e">
        <f>+N398-#REF!</f>
        <v>#REF!</v>
      </c>
      <c r="AC398" s="164">
        <f>+N398-'[12]Приложение № 4'!E371</f>
        <v>0</v>
      </c>
      <c r="AE398" s="165" t="e">
        <f>+N398-#REF!</f>
        <v>#REF!</v>
      </c>
      <c r="AG398" s="3" t="s">
        <v>356</v>
      </c>
      <c r="AH398" s="4">
        <f t="shared" si="59"/>
        <v>487629.30941982643</v>
      </c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>
        <v>463629.30941982643</v>
      </c>
      <c r="AV398" s="4">
        <v>24000</v>
      </c>
      <c r="AW398" s="4"/>
      <c r="AZ398" s="156">
        <f>+N398-'Приложение №4'!E393</f>
        <v>0</v>
      </c>
    </row>
    <row r="399" spans="1:52" ht="15" x14ac:dyDescent="0.25">
      <c r="A399" s="122">
        <f t="shared" si="50"/>
        <v>382</v>
      </c>
      <c r="B399" s="62">
        <f t="shared" si="51"/>
        <v>382</v>
      </c>
      <c r="C399" s="62" t="s">
        <v>517</v>
      </c>
      <c r="D399" s="62" t="s">
        <v>357</v>
      </c>
      <c r="E399" s="123" t="s">
        <v>112</v>
      </c>
      <c r="F399" s="123"/>
      <c r="G399" s="123" t="s">
        <v>96</v>
      </c>
      <c r="H399" s="123" t="s">
        <v>108</v>
      </c>
      <c r="I399" s="123" t="s">
        <v>101</v>
      </c>
      <c r="J399" s="64">
        <v>2363.1999999999998</v>
      </c>
      <c r="K399" s="64">
        <v>2363.1999999999998</v>
      </c>
      <c r="L399" s="64">
        <v>0</v>
      </c>
      <c r="M399" s="124">
        <v>62</v>
      </c>
      <c r="N399" s="95">
        <f t="shared" si="49"/>
        <v>1198330.0999999999</v>
      </c>
      <c r="O399" s="64">
        <v>0</v>
      </c>
      <c r="P399" s="64">
        <v>167958.83</v>
      </c>
      <c r="Q399" s="64"/>
      <c r="R399" s="64">
        <f>+'Приложение №4'!E394-'Приложение №3'!P399</f>
        <v>1030371.2699999999</v>
      </c>
      <c r="S399" s="64"/>
      <c r="T399" s="64"/>
      <c r="U399" s="64">
        <f t="shared" si="53"/>
        <v>507.07942620176033</v>
      </c>
      <c r="V399" s="64">
        <f t="shared" si="53"/>
        <v>507.07942620176033</v>
      </c>
      <c r="W399" s="163" t="s">
        <v>495</v>
      </c>
      <c r="X399" s="156" t="e">
        <f>+N399-#REF!</f>
        <v>#REF!</v>
      </c>
      <c r="Y399" s="153">
        <v>637271.25</v>
      </c>
      <c r="Z399" s="153">
        <f t="shared" si="58"/>
        <v>258061.44</v>
      </c>
      <c r="AB399" s="156" t="e">
        <f>+N399-#REF!</f>
        <v>#REF!</v>
      </c>
      <c r="AC399" s="164">
        <f>+N399-'[12]Приложение № 4'!E372</f>
        <v>0</v>
      </c>
      <c r="AE399" s="165" t="e">
        <f>+N399-#REF!</f>
        <v>#REF!</v>
      </c>
      <c r="AG399" s="3" t="s">
        <v>357</v>
      </c>
      <c r="AH399" s="4">
        <f t="shared" si="59"/>
        <v>512501.65842973982</v>
      </c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>
        <v>488501.65842973982</v>
      </c>
      <c r="AV399" s="4">
        <v>24000</v>
      </c>
      <c r="AW399" s="4"/>
      <c r="AZ399" s="156">
        <f>+N399-'Приложение №4'!E394</f>
        <v>0</v>
      </c>
    </row>
    <row r="400" spans="1:52" ht="15" x14ac:dyDescent="0.25">
      <c r="A400" s="122">
        <f t="shared" si="50"/>
        <v>383</v>
      </c>
      <c r="B400" s="62">
        <f t="shared" si="51"/>
        <v>383</v>
      </c>
      <c r="C400" s="62" t="s">
        <v>136</v>
      </c>
      <c r="D400" s="62" t="s">
        <v>577</v>
      </c>
      <c r="E400" s="123">
        <v>1981</v>
      </c>
      <c r="F400" s="123">
        <v>1981</v>
      </c>
      <c r="G400" s="123" t="s">
        <v>43</v>
      </c>
      <c r="H400" s="123">
        <v>4</v>
      </c>
      <c r="I400" s="123">
        <v>4</v>
      </c>
      <c r="J400" s="64">
        <v>2828.9</v>
      </c>
      <c r="K400" s="64">
        <v>2608.8000000000002</v>
      </c>
      <c r="L400" s="64">
        <v>220.1</v>
      </c>
      <c r="M400" s="124">
        <v>87</v>
      </c>
      <c r="N400" s="95">
        <f>+P400+Q400+R400+S400+T400</f>
        <v>343290.73</v>
      </c>
      <c r="O400" s="64"/>
      <c r="P400" s="64"/>
      <c r="Q400" s="64"/>
      <c r="R400" s="64">
        <f>+'[12]Приложение № 4'!E373</f>
        <v>343290.73</v>
      </c>
      <c r="S400" s="64"/>
      <c r="T400" s="64"/>
      <c r="U400" s="64">
        <f t="shared" si="53"/>
        <v>121.3513132312913</v>
      </c>
      <c r="V400" s="64">
        <f t="shared" si="53"/>
        <v>121.3513132312913</v>
      </c>
      <c r="W400" s="163" t="s">
        <v>495</v>
      </c>
      <c r="AC400" s="164">
        <f>+N400-'[12]Приложение № 4'!E373</f>
        <v>0</v>
      </c>
      <c r="AG400" s="172" t="s">
        <v>578</v>
      </c>
      <c r="AH400" s="4">
        <f>SUM(AI400:AW400)</f>
        <v>343290.73</v>
      </c>
      <c r="AI400" s="167"/>
      <c r="AJ400" s="167"/>
      <c r="AK400" s="167"/>
      <c r="AL400" s="167"/>
      <c r="AM400" s="167"/>
      <c r="AN400" s="167"/>
      <c r="AO400" s="167"/>
      <c r="AP400" s="167"/>
      <c r="AQ400" s="167"/>
      <c r="AR400" s="167"/>
      <c r="AS400" s="167"/>
      <c r="AT400" s="167"/>
      <c r="AU400" s="167">
        <v>309167.73</v>
      </c>
      <c r="AV400" s="167">
        <v>34123</v>
      </c>
      <c r="AW400" s="168"/>
      <c r="AZ400" s="156">
        <f>+N400-'Приложение №4'!E395</f>
        <v>0</v>
      </c>
    </row>
    <row r="401" spans="1:52" ht="15" x14ac:dyDescent="0.25">
      <c r="A401" s="122">
        <f t="shared" si="50"/>
        <v>384</v>
      </c>
      <c r="B401" s="62">
        <f t="shared" si="51"/>
        <v>384</v>
      </c>
      <c r="C401" s="62" t="s">
        <v>136</v>
      </c>
      <c r="D401" s="62" t="s">
        <v>579</v>
      </c>
      <c r="E401" s="123">
        <v>1983</v>
      </c>
      <c r="F401" s="123">
        <v>1983</v>
      </c>
      <c r="G401" s="123" t="s">
        <v>43</v>
      </c>
      <c r="H401" s="123">
        <v>4</v>
      </c>
      <c r="I401" s="123">
        <v>2</v>
      </c>
      <c r="J401" s="64">
        <v>1662</v>
      </c>
      <c r="K401" s="64">
        <v>1263.2</v>
      </c>
      <c r="L401" s="64">
        <v>398.8</v>
      </c>
      <c r="M401" s="124">
        <v>48</v>
      </c>
      <c r="N401" s="95">
        <f>+P401+Q401+R401+S401+T401</f>
        <v>286990.15000000002</v>
      </c>
      <c r="O401" s="64"/>
      <c r="P401" s="64"/>
      <c r="Q401" s="64"/>
      <c r="R401" s="64">
        <f>+'[12]Приложение № 4'!E374</f>
        <v>286990.15000000002</v>
      </c>
      <c r="S401" s="64"/>
      <c r="T401" s="64"/>
      <c r="U401" s="64">
        <f t="shared" si="53"/>
        <v>172.67758724428401</v>
      </c>
      <c r="V401" s="64">
        <f t="shared" si="53"/>
        <v>172.67758724428401</v>
      </c>
      <c r="W401" s="163" t="s">
        <v>495</v>
      </c>
      <c r="AC401" s="164">
        <f>+N401-'[12]Приложение № 4'!E374</f>
        <v>0</v>
      </c>
      <c r="AG401" s="172" t="s">
        <v>580</v>
      </c>
      <c r="AH401" s="4">
        <f>SUM(AI401:AW401)</f>
        <v>286990.15000000002</v>
      </c>
      <c r="AI401" s="167"/>
      <c r="AJ401" s="167"/>
      <c r="AK401" s="167"/>
      <c r="AL401" s="167"/>
      <c r="AM401" s="167"/>
      <c r="AN401" s="167"/>
      <c r="AO401" s="167"/>
      <c r="AP401" s="167"/>
      <c r="AQ401" s="167"/>
      <c r="AR401" s="167"/>
      <c r="AS401" s="167"/>
      <c r="AT401" s="167"/>
      <c r="AU401" s="167">
        <v>258542.15</v>
      </c>
      <c r="AV401" s="167">
        <v>28448</v>
      </c>
      <c r="AW401" s="168"/>
      <c r="AZ401" s="156">
        <f>+N401-'Приложение №4'!E396</f>
        <v>0</v>
      </c>
    </row>
    <row r="402" spans="1:52" ht="15" x14ac:dyDescent="0.25">
      <c r="A402" s="122">
        <f t="shared" si="50"/>
        <v>385</v>
      </c>
      <c r="B402" s="62">
        <f t="shared" si="51"/>
        <v>385</v>
      </c>
      <c r="C402" s="62" t="s">
        <v>476</v>
      </c>
      <c r="D402" s="62" t="s">
        <v>581</v>
      </c>
      <c r="E402" s="123">
        <v>1984</v>
      </c>
      <c r="F402" s="123">
        <v>1984</v>
      </c>
      <c r="G402" s="123" t="s">
        <v>43</v>
      </c>
      <c r="H402" s="123">
        <v>1</v>
      </c>
      <c r="I402" s="123">
        <v>1</v>
      </c>
      <c r="J402" s="64">
        <v>266.60000000000002</v>
      </c>
      <c r="K402" s="64">
        <v>264.3</v>
      </c>
      <c r="L402" s="64">
        <v>2.2999999999999998</v>
      </c>
      <c r="M402" s="124">
        <v>10</v>
      </c>
      <c r="N402" s="95">
        <f>+P402+Q402+R402+S402+T402</f>
        <v>231559.53999999998</v>
      </c>
      <c r="O402" s="64"/>
      <c r="P402" s="64"/>
      <c r="Q402" s="64"/>
      <c r="R402" s="64">
        <f>+'[12]Приложение № 4'!E375</f>
        <v>231559.53999999998</v>
      </c>
      <c r="S402" s="64"/>
      <c r="T402" s="64"/>
      <c r="U402" s="64">
        <f t="shared" si="53"/>
        <v>868.56541635408837</v>
      </c>
      <c r="V402" s="64">
        <f t="shared" si="53"/>
        <v>868.56541635408837</v>
      </c>
      <c r="W402" s="163" t="s">
        <v>495</v>
      </c>
      <c r="AC402" s="164">
        <f>+N402-'[12]Приложение № 4'!E375</f>
        <v>0</v>
      </c>
      <c r="AG402" s="172" t="s">
        <v>582</v>
      </c>
      <c r="AH402" s="4">
        <f>SUM(AI402:AW402)</f>
        <v>231559.53999999998</v>
      </c>
      <c r="AI402" s="167"/>
      <c r="AJ402" s="167"/>
      <c r="AK402" s="167"/>
      <c r="AL402" s="167"/>
      <c r="AM402" s="167"/>
      <c r="AN402" s="167"/>
      <c r="AO402" s="167"/>
      <c r="AP402" s="167"/>
      <c r="AQ402" s="167"/>
      <c r="AR402" s="167"/>
      <c r="AS402" s="167"/>
      <c r="AT402" s="167"/>
      <c r="AU402" s="167">
        <v>166928.99</v>
      </c>
      <c r="AV402" s="167">
        <v>64630.55</v>
      </c>
      <c r="AW402" s="168"/>
      <c r="AZ402" s="156">
        <f>+N402-'Приложение №4'!E397</f>
        <v>0</v>
      </c>
    </row>
    <row r="403" spans="1:52" ht="15" x14ac:dyDescent="0.25">
      <c r="A403" s="122">
        <f t="shared" si="50"/>
        <v>386</v>
      </c>
      <c r="B403" s="62">
        <f t="shared" si="51"/>
        <v>386</v>
      </c>
      <c r="C403" s="62" t="s">
        <v>968</v>
      </c>
      <c r="D403" s="62" t="s">
        <v>583</v>
      </c>
      <c r="E403" s="123">
        <v>1995</v>
      </c>
      <c r="F403" s="123">
        <v>1995</v>
      </c>
      <c r="G403" s="123" t="s">
        <v>48</v>
      </c>
      <c r="H403" s="123">
        <v>2</v>
      </c>
      <c r="I403" s="123">
        <v>2</v>
      </c>
      <c r="J403" s="64">
        <v>627.59</v>
      </c>
      <c r="K403" s="64">
        <v>584.20000000000005</v>
      </c>
      <c r="L403" s="64">
        <v>0</v>
      </c>
      <c r="M403" s="124">
        <v>37</v>
      </c>
      <c r="N403" s="95">
        <f>+P403+Q403+R403+S403+T403</f>
        <v>227216.73</v>
      </c>
      <c r="O403" s="64"/>
      <c r="P403" s="65"/>
      <c r="Q403" s="65"/>
      <c r="R403" s="64">
        <f>+'[12]Приложение № 4'!E376</f>
        <v>227216.73</v>
      </c>
      <c r="S403" s="65"/>
      <c r="T403" s="65"/>
      <c r="U403" s="64">
        <f t="shared" si="53"/>
        <v>388.93654570352618</v>
      </c>
      <c r="V403" s="64">
        <f t="shared" si="53"/>
        <v>388.93654570352618</v>
      </c>
      <c r="W403" s="163" t="s">
        <v>495</v>
      </c>
      <c r="X403" s="157"/>
      <c r="Y403" s="158"/>
      <c r="Z403" s="158"/>
      <c r="AA403" s="158"/>
      <c r="AC403" s="164">
        <f>+N403-'[12]Приложение № 4'!E376</f>
        <v>0</v>
      </c>
      <c r="AZ403" s="156">
        <f>+N403-'Приложение №4'!E398</f>
        <v>0</v>
      </c>
    </row>
    <row r="404" spans="1:52" ht="15" x14ac:dyDescent="0.25">
      <c r="A404" s="122">
        <f t="shared" ref="A404:A429" si="60">+A403+1</f>
        <v>387</v>
      </c>
      <c r="B404" s="62">
        <f t="shared" ref="B404:B429" si="61">+B403+1</f>
        <v>387</v>
      </c>
      <c r="C404" s="62" t="s">
        <v>600</v>
      </c>
      <c r="D404" s="62" t="s">
        <v>601</v>
      </c>
      <c r="E404" s="123">
        <v>1987</v>
      </c>
      <c r="F404" s="123"/>
      <c r="G404" s="123" t="s">
        <v>48</v>
      </c>
      <c r="H404" s="123">
        <v>2</v>
      </c>
      <c r="I404" s="123">
        <v>3</v>
      </c>
      <c r="J404" s="64">
        <v>823.17</v>
      </c>
      <c r="K404" s="64">
        <v>706</v>
      </c>
      <c r="L404" s="64">
        <v>88.67</v>
      </c>
      <c r="M404" s="124">
        <v>25</v>
      </c>
      <c r="N404" s="95">
        <f t="shared" ref="N404" si="62">+P404+Q404+R404+S404+T404</f>
        <v>12192.37</v>
      </c>
      <c r="O404" s="64"/>
      <c r="P404" s="65"/>
      <c r="Q404" s="65"/>
      <c r="R404" s="64">
        <f>+'Приложение №4'!E399</f>
        <v>12192.37</v>
      </c>
      <c r="S404" s="65"/>
      <c r="T404" s="65"/>
      <c r="U404" s="64">
        <f t="shared" si="53"/>
        <v>15.34268312632917</v>
      </c>
      <c r="V404" s="64">
        <f t="shared" si="53"/>
        <v>15.34268312632917</v>
      </c>
      <c r="W404" s="163" t="s">
        <v>495</v>
      </c>
      <c r="X404" s="173"/>
      <c r="Y404" s="173"/>
      <c r="Z404" s="173"/>
      <c r="AA404" s="173"/>
      <c r="AC404" s="164"/>
      <c r="AZ404" s="156">
        <f>+N404-'Приложение №4'!E399</f>
        <v>0</v>
      </c>
    </row>
    <row r="405" spans="1:52" ht="15" x14ac:dyDescent="0.25">
      <c r="A405" s="122">
        <f t="shared" si="60"/>
        <v>388</v>
      </c>
      <c r="B405" s="62">
        <f t="shared" si="61"/>
        <v>388</v>
      </c>
      <c r="C405" s="62" t="s">
        <v>518</v>
      </c>
      <c r="D405" s="62" t="s">
        <v>358</v>
      </c>
      <c r="E405" s="123" t="s">
        <v>519</v>
      </c>
      <c r="F405" s="123"/>
      <c r="G405" s="123" t="s">
        <v>96</v>
      </c>
      <c r="H405" s="123" t="s">
        <v>108</v>
      </c>
      <c r="I405" s="123" t="s">
        <v>98</v>
      </c>
      <c r="J405" s="64">
        <v>1668.6</v>
      </c>
      <c r="K405" s="64">
        <v>1418</v>
      </c>
      <c r="L405" s="64">
        <v>0</v>
      </c>
      <c r="M405" s="124">
        <v>57</v>
      </c>
      <c r="N405" s="95">
        <f t="shared" ref="N405:N429" si="63">+P405+Q405+R405+S405+T405</f>
        <v>188310.15</v>
      </c>
      <c r="O405" s="64">
        <v>0</v>
      </c>
      <c r="P405" s="64"/>
      <c r="Q405" s="64"/>
      <c r="R405" s="64">
        <f>+'[12]Приложение № 4'!E377</f>
        <v>188310.15</v>
      </c>
      <c r="S405" s="64"/>
      <c r="T405" s="64"/>
      <c r="U405" s="64">
        <f t="shared" si="53"/>
        <v>132.79982369534557</v>
      </c>
      <c r="V405" s="64">
        <f t="shared" si="53"/>
        <v>132.79982369534557</v>
      </c>
      <c r="W405" s="163" t="s">
        <v>495</v>
      </c>
      <c r="X405" s="156" t="e">
        <f>+N405-#REF!</f>
        <v>#REF!</v>
      </c>
      <c r="Z405" s="153">
        <f>+(K405*9.1+L405*18.19)*12</f>
        <v>154845.59999999998</v>
      </c>
      <c r="AB405" s="156" t="e">
        <f>+N405-#REF!</f>
        <v>#REF!</v>
      </c>
      <c r="AC405" s="164">
        <f>+N405-'[12]Приложение № 4'!E377</f>
        <v>0</v>
      </c>
      <c r="AE405" s="165" t="e">
        <f>+N405-#REF!</f>
        <v>#REF!</v>
      </c>
      <c r="AG405" s="3" t="s">
        <v>358</v>
      </c>
      <c r="AH405" s="4">
        <f t="shared" si="59"/>
        <v>205289.46816000002</v>
      </c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>
        <v>181289.46816000002</v>
      </c>
      <c r="AV405" s="4">
        <v>24000</v>
      </c>
      <c r="AW405" s="4"/>
      <c r="AZ405" s="156">
        <f>+N405-'Приложение №4'!E400</f>
        <v>0</v>
      </c>
    </row>
    <row r="406" spans="1:52" ht="15" x14ac:dyDescent="0.25">
      <c r="A406" s="122">
        <f t="shared" si="60"/>
        <v>389</v>
      </c>
      <c r="B406" s="62">
        <f t="shared" si="61"/>
        <v>389</v>
      </c>
      <c r="C406" s="62" t="s">
        <v>137</v>
      </c>
      <c r="D406" s="62" t="s">
        <v>359</v>
      </c>
      <c r="E406" s="123" t="s">
        <v>135</v>
      </c>
      <c r="F406" s="123"/>
      <c r="G406" s="123" t="s">
        <v>96</v>
      </c>
      <c r="H406" s="123" t="s">
        <v>108</v>
      </c>
      <c r="I406" s="123" t="s">
        <v>105</v>
      </c>
      <c r="J406" s="64">
        <v>4945.3999999999996</v>
      </c>
      <c r="K406" s="64">
        <v>4255</v>
      </c>
      <c r="L406" s="64">
        <v>71.400000000000006</v>
      </c>
      <c r="M406" s="124">
        <v>160</v>
      </c>
      <c r="N406" s="95">
        <f t="shared" si="63"/>
        <v>1150935.7799999998</v>
      </c>
      <c r="O406" s="64">
        <v>0</v>
      </c>
      <c r="P406" s="64"/>
      <c r="Q406" s="64"/>
      <c r="R406" s="64">
        <f>+'[12]Приложение № 4'!E378</f>
        <v>1150935.7799999998</v>
      </c>
      <c r="S406" s="64"/>
      <c r="T406" s="64"/>
      <c r="U406" s="64">
        <f t="shared" si="53"/>
        <v>266.02620654585797</v>
      </c>
      <c r="V406" s="64">
        <f t="shared" si="53"/>
        <v>266.02620654585797</v>
      </c>
      <c r="W406" s="163" t="s">
        <v>495</v>
      </c>
      <c r="X406" s="156" t="e">
        <f>+N406-#REF!</f>
        <v>#REF!</v>
      </c>
      <c r="Y406" s="153">
        <v>1779743.03</v>
      </c>
      <c r="Z406" s="153">
        <f t="shared" ref="Z406:Z424" si="64">+(K406*9.1+L406*18.19)*12</f>
        <v>480231.19200000004</v>
      </c>
      <c r="AB406" s="156" t="e">
        <f>+N406-#REF!</f>
        <v>#REF!</v>
      </c>
      <c r="AC406" s="164">
        <f>+N406-'[12]Приложение № 4'!E378</f>
        <v>0</v>
      </c>
      <c r="AE406" s="165" t="e">
        <f>+N406-#REF!</f>
        <v>#REF!</v>
      </c>
      <c r="AG406" s="3" t="s">
        <v>359</v>
      </c>
      <c r="AH406" s="4">
        <f t="shared" si="59"/>
        <v>1157056.4939724717</v>
      </c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>
        <v>1110901.9348716717</v>
      </c>
      <c r="AV406" s="4">
        <v>46154.559100799997</v>
      </c>
      <c r="AW406" s="4"/>
      <c r="AZ406" s="156">
        <f>+N406-'Приложение №4'!E401</f>
        <v>0</v>
      </c>
    </row>
    <row r="407" spans="1:52" ht="15" x14ac:dyDescent="0.25">
      <c r="A407" s="122">
        <f t="shared" si="60"/>
        <v>390</v>
      </c>
      <c r="B407" s="62">
        <f t="shared" si="61"/>
        <v>390</v>
      </c>
      <c r="C407" s="62" t="s">
        <v>137</v>
      </c>
      <c r="D407" s="62" t="s">
        <v>360</v>
      </c>
      <c r="E407" s="123" t="s">
        <v>128</v>
      </c>
      <c r="F407" s="123"/>
      <c r="G407" s="123" t="s">
        <v>96</v>
      </c>
      <c r="H407" s="123" t="s">
        <v>108</v>
      </c>
      <c r="I407" s="123" t="s">
        <v>105</v>
      </c>
      <c r="J407" s="64">
        <v>3981.21</v>
      </c>
      <c r="K407" s="64">
        <v>3111.1</v>
      </c>
      <c r="L407" s="64">
        <v>88.61</v>
      </c>
      <c r="M407" s="124">
        <v>114</v>
      </c>
      <c r="N407" s="95">
        <f t="shared" si="63"/>
        <v>338593.19</v>
      </c>
      <c r="O407" s="64">
        <v>0</v>
      </c>
      <c r="P407" s="64"/>
      <c r="Q407" s="64"/>
      <c r="R407" s="64">
        <f>+'[12]Приложение № 4'!E379</f>
        <v>338593.19</v>
      </c>
      <c r="S407" s="64"/>
      <c r="T407" s="64"/>
      <c r="U407" s="64">
        <f t="shared" si="53"/>
        <v>105.81996180903894</v>
      </c>
      <c r="V407" s="64">
        <f t="shared" si="53"/>
        <v>105.81996180903894</v>
      </c>
      <c r="W407" s="163" t="s">
        <v>495</v>
      </c>
      <c r="X407" s="156" t="e">
        <f>+N407-#REF!</f>
        <v>#REF!</v>
      </c>
      <c r="Y407" s="153">
        <v>1385044.33</v>
      </c>
      <c r="Z407" s="153">
        <f t="shared" si="64"/>
        <v>359073.91080000001</v>
      </c>
      <c r="AB407" s="156" t="e">
        <f>+N407-#REF!</f>
        <v>#REF!</v>
      </c>
      <c r="AC407" s="164">
        <f>+N407-'[12]Приложение № 4'!E379</f>
        <v>0</v>
      </c>
      <c r="AE407" s="165" t="e">
        <f>+N407-#REF!</f>
        <v>#REF!</v>
      </c>
      <c r="AG407" s="3" t="s">
        <v>360</v>
      </c>
      <c r="AH407" s="4">
        <f t="shared" si="59"/>
        <v>340301.8342988909</v>
      </c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>
        <v>316301.8342988909</v>
      </c>
      <c r="AV407" s="4">
        <v>24000</v>
      </c>
      <c r="AW407" s="4"/>
      <c r="AZ407" s="156">
        <f>+N407-'Приложение №4'!E402</f>
        <v>0</v>
      </c>
    </row>
    <row r="408" spans="1:52" ht="15" x14ac:dyDescent="0.25">
      <c r="A408" s="122">
        <f t="shared" si="60"/>
        <v>391</v>
      </c>
      <c r="B408" s="62">
        <f t="shared" si="61"/>
        <v>391</v>
      </c>
      <c r="C408" s="62" t="s">
        <v>967</v>
      </c>
      <c r="D408" s="62" t="s">
        <v>361</v>
      </c>
      <c r="E408" s="123" t="s">
        <v>113</v>
      </c>
      <c r="F408" s="123"/>
      <c r="G408" s="123" t="s">
        <v>96</v>
      </c>
      <c r="H408" s="123" t="s">
        <v>98</v>
      </c>
      <c r="I408" s="123" t="s">
        <v>98</v>
      </c>
      <c r="J408" s="64">
        <v>934.9</v>
      </c>
      <c r="K408" s="64">
        <v>858.8</v>
      </c>
      <c r="L408" s="64">
        <v>0</v>
      </c>
      <c r="M408" s="124">
        <v>33</v>
      </c>
      <c r="N408" s="95">
        <f t="shared" si="63"/>
        <v>133997.25</v>
      </c>
      <c r="O408" s="64">
        <v>0</v>
      </c>
      <c r="P408" s="64"/>
      <c r="Q408" s="64"/>
      <c r="R408" s="64">
        <f>+'[12]Приложение № 4'!E380</f>
        <v>133997.25</v>
      </c>
      <c r="S408" s="64"/>
      <c r="T408" s="64"/>
      <c r="U408" s="64">
        <f t="shared" si="53"/>
        <v>156.02846995808105</v>
      </c>
      <c r="V408" s="64">
        <f t="shared" si="53"/>
        <v>156.02846995808105</v>
      </c>
      <c r="W408" s="163" t="s">
        <v>495</v>
      </c>
      <c r="X408" s="156" t="e">
        <f>+N408-#REF!</f>
        <v>#REF!</v>
      </c>
      <c r="Y408" s="153">
        <v>317334.14</v>
      </c>
      <c r="Z408" s="153">
        <f t="shared" si="64"/>
        <v>93780.959999999992</v>
      </c>
      <c r="AB408" s="156" t="e">
        <f>+N408-#REF!</f>
        <v>#REF!</v>
      </c>
      <c r="AC408" s="164">
        <f>+N408-'[12]Приложение № 4'!E380</f>
        <v>0</v>
      </c>
      <c r="AE408" s="165" t="e">
        <f>+N408-#REF!</f>
        <v>#REF!</v>
      </c>
      <c r="AG408" s="3" t="s">
        <v>361</v>
      </c>
      <c r="AH408" s="4">
        <f t="shared" si="59"/>
        <v>134594.66972922243</v>
      </c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>
        <v>93149.321719622414</v>
      </c>
      <c r="AV408" s="4">
        <v>41445.348009599998</v>
      </c>
      <c r="AW408" s="4"/>
      <c r="AZ408" s="156">
        <f>+N408-'Приложение №4'!E403</f>
        <v>0</v>
      </c>
    </row>
    <row r="409" spans="1:52" ht="15" x14ac:dyDescent="0.25">
      <c r="A409" s="122">
        <f t="shared" si="60"/>
        <v>392</v>
      </c>
      <c r="B409" s="62">
        <f t="shared" si="61"/>
        <v>392</v>
      </c>
      <c r="C409" s="62" t="s">
        <v>967</v>
      </c>
      <c r="D409" s="62" t="s">
        <v>362</v>
      </c>
      <c r="E409" s="123" t="s">
        <v>113</v>
      </c>
      <c r="F409" s="123"/>
      <c r="G409" s="123" t="s">
        <v>96</v>
      </c>
      <c r="H409" s="123" t="s">
        <v>98</v>
      </c>
      <c r="I409" s="123" t="s">
        <v>98</v>
      </c>
      <c r="J409" s="64">
        <v>938.1</v>
      </c>
      <c r="K409" s="64">
        <v>856.9</v>
      </c>
      <c r="L409" s="64">
        <v>0</v>
      </c>
      <c r="M409" s="124">
        <v>28</v>
      </c>
      <c r="N409" s="95">
        <f t="shared" si="63"/>
        <v>134321.91999999998</v>
      </c>
      <c r="O409" s="64">
        <v>0</v>
      </c>
      <c r="P409" s="64"/>
      <c r="Q409" s="64"/>
      <c r="R409" s="64">
        <f>+'[12]Приложение № 4'!E381</f>
        <v>134321.91999999998</v>
      </c>
      <c r="S409" s="64"/>
      <c r="T409" s="64"/>
      <c r="U409" s="64">
        <f t="shared" si="53"/>
        <v>156.75332010736375</v>
      </c>
      <c r="V409" s="64">
        <f t="shared" si="53"/>
        <v>156.75332010736375</v>
      </c>
      <c r="W409" s="163" t="s">
        <v>495</v>
      </c>
      <c r="X409" s="156" t="e">
        <f>+N409-#REF!</f>
        <v>#REF!</v>
      </c>
      <c r="Y409" s="153">
        <v>361758.34</v>
      </c>
      <c r="Z409" s="153">
        <f t="shared" si="64"/>
        <v>93573.479999999981</v>
      </c>
      <c r="AB409" s="156" t="e">
        <f>+N409-#REF!</f>
        <v>#REF!</v>
      </c>
      <c r="AC409" s="164">
        <f>+N409-'[12]Приложение № 4'!E381</f>
        <v>0</v>
      </c>
      <c r="AE409" s="165" t="e">
        <f>+N409-#REF!</f>
        <v>#REF!</v>
      </c>
      <c r="AG409" s="3" t="s">
        <v>362</v>
      </c>
      <c r="AH409" s="4">
        <f t="shared" si="59"/>
        <v>134921.10505392769</v>
      </c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>
        <v>93465.957671527678</v>
      </c>
      <c r="AV409" s="4">
        <v>41455.147382399999</v>
      </c>
      <c r="AW409" s="4"/>
      <c r="AZ409" s="156">
        <f>+N409-'Приложение №4'!E404</f>
        <v>0</v>
      </c>
    </row>
    <row r="410" spans="1:52" ht="15" x14ac:dyDescent="0.25">
      <c r="A410" s="122">
        <f t="shared" si="60"/>
        <v>393</v>
      </c>
      <c r="B410" s="62">
        <f t="shared" si="61"/>
        <v>393</v>
      </c>
      <c r="C410" s="62" t="s">
        <v>520</v>
      </c>
      <c r="D410" s="62" t="s">
        <v>363</v>
      </c>
      <c r="E410" s="123" t="s">
        <v>135</v>
      </c>
      <c r="F410" s="123"/>
      <c r="G410" s="123" t="s">
        <v>96</v>
      </c>
      <c r="H410" s="123" t="s">
        <v>105</v>
      </c>
      <c r="I410" s="123" t="s">
        <v>98</v>
      </c>
      <c r="J410" s="64">
        <v>1978.4</v>
      </c>
      <c r="K410" s="64">
        <v>1112</v>
      </c>
      <c r="L410" s="64">
        <v>686.4</v>
      </c>
      <c r="M410" s="124">
        <v>70</v>
      </c>
      <c r="N410" s="95">
        <f t="shared" si="63"/>
        <v>499228.68</v>
      </c>
      <c r="O410" s="64">
        <v>0</v>
      </c>
      <c r="P410" s="64"/>
      <c r="Q410" s="64"/>
      <c r="R410" s="64">
        <f>+'[12]Приложение № 4'!E382</f>
        <v>499228.68</v>
      </c>
      <c r="S410" s="64"/>
      <c r="T410" s="64"/>
      <c r="U410" s="64">
        <f t="shared" si="53"/>
        <v>277.596018683274</v>
      </c>
      <c r="V410" s="64">
        <f t="shared" si="53"/>
        <v>277.596018683274</v>
      </c>
      <c r="W410" s="163" t="s">
        <v>495</v>
      </c>
      <c r="X410" s="156" t="e">
        <f>+N410-#REF!</f>
        <v>#REF!</v>
      </c>
      <c r="Y410" s="153">
        <v>424932.84</v>
      </c>
      <c r="Z410" s="153">
        <f t="shared" si="64"/>
        <v>271257.79200000002</v>
      </c>
      <c r="AB410" s="156" t="e">
        <f>+N410-#REF!</f>
        <v>#REF!</v>
      </c>
      <c r="AC410" s="164">
        <f>+N410-'[12]Приложение № 4'!E382</f>
        <v>0</v>
      </c>
      <c r="AE410" s="165" t="e">
        <f>+N410-#REF!</f>
        <v>#REF!</v>
      </c>
      <c r="AG410" s="3" t="s">
        <v>363</v>
      </c>
      <c r="AH410" s="4">
        <f t="shared" si="59"/>
        <v>515885.83070207998</v>
      </c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>
        <v>491885.83070207998</v>
      </c>
      <c r="AV410" s="4">
        <v>24000</v>
      </c>
      <c r="AW410" s="4"/>
      <c r="AZ410" s="156">
        <f>+N410-'Приложение №4'!E405</f>
        <v>0</v>
      </c>
    </row>
    <row r="411" spans="1:52" ht="15" x14ac:dyDescent="0.25">
      <c r="A411" s="122">
        <f t="shared" si="60"/>
        <v>394</v>
      </c>
      <c r="B411" s="62">
        <f t="shared" si="61"/>
        <v>394</v>
      </c>
      <c r="C411" s="62" t="s">
        <v>521</v>
      </c>
      <c r="D411" s="62" t="s">
        <v>364</v>
      </c>
      <c r="E411" s="123" t="s">
        <v>110</v>
      </c>
      <c r="F411" s="123"/>
      <c r="G411" s="123" t="s">
        <v>96</v>
      </c>
      <c r="H411" s="123" t="s">
        <v>108</v>
      </c>
      <c r="I411" s="123" t="s">
        <v>101</v>
      </c>
      <c r="J411" s="64">
        <v>3608.2</v>
      </c>
      <c r="K411" s="64">
        <v>1851.1</v>
      </c>
      <c r="L411" s="64">
        <v>996.9</v>
      </c>
      <c r="M411" s="124">
        <v>123</v>
      </c>
      <c r="N411" s="95">
        <f t="shared" si="63"/>
        <v>559606.71</v>
      </c>
      <c r="O411" s="64">
        <v>0</v>
      </c>
      <c r="P411" s="64"/>
      <c r="Q411" s="64"/>
      <c r="R411" s="64">
        <f>+'[12]Приложение № 4'!E383</f>
        <v>559606.71</v>
      </c>
      <c r="S411" s="64"/>
      <c r="T411" s="64"/>
      <c r="U411" s="64">
        <f t="shared" si="53"/>
        <v>196.49112008426965</v>
      </c>
      <c r="V411" s="64">
        <f t="shared" si="53"/>
        <v>196.49112008426965</v>
      </c>
      <c r="W411" s="163" t="s">
        <v>495</v>
      </c>
      <c r="X411" s="156" t="e">
        <f>+N411-#REF!</f>
        <v>#REF!</v>
      </c>
      <c r="Y411" s="153">
        <v>1576107.2</v>
      </c>
      <c r="Z411" s="153">
        <f t="shared" si="64"/>
        <v>419743.45199999999</v>
      </c>
      <c r="AB411" s="156" t="e">
        <f>+N411-#REF!</f>
        <v>#REF!</v>
      </c>
      <c r="AC411" s="164">
        <f>+N411-'[12]Приложение № 4'!E383</f>
        <v>0</v>
      </c>
      <c r="AE411" s="165" t="e">
        <f>+N411-#REF!</f>
        <v>#REF!</v>
      </c>
      <c r="AG411" s="3" t="s">
        <v>364</v>
      </c>
      <c r="AH411" s="4">
        <f t="shared" si="59"/>
        <v>562515.75342106808</v>
      </c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>
        <v>517766.2253300281</v>
      </c>
      <c r="AV411" s="4">
        <v>44749.528091040003</v>
      </c>
      <c r="AW411" s="4"/>
      <c r="AZ411" s="156">
        <f>+N411-'Приложение №4'!E406</f>
        <v>0</v>
      </c>
    </row>
    <row r="412" spans="1:52" ht="15" x14ac:dyDescent="0.25">
      <c r="A412" s="122">
        <f t="shared" si="60"/>
        <v>395</v>
      </c>
      <c r="B412" s="62">
        <f t="shared" si="61"/>
        <v>395</v>
      </c>
      <c r="C412" s="62" t="s">
        <v>521</v>
      </c>
      <c r="D412" s="62" t="s">
        <v>365</v>
      </c>
      <c r="E412" s="123" t="s">
        <v>116</v>
      </c>
      <c r="F412" s="123"/>
      <c r="G412" s="123" t="s">
        <v>96</v>
      </c>
      <c r="H412" s="123" t="s">
        <v>108</v>
      </c>
      <c r="I412" s="123" t="s">
        <v>105</v>
      </c>
      <c r="J412" s="64">
        <v>3449.3</v>
      </c>
      <c r="K412" s="64">
        <v>2945.9</v>
      </c>
      <c r="L412" s="64">
        <v>171.7</v>
      </c>
      <c r="M412" s="124">
        <v>147</v>
      </c>
      <c r="N412" s="95">
        <f t="shared" si="63"/>
        <v>233973.65</v>
      </c>
      <c r="O412" s="64">
        <v>0</v>
      </c>
      <c r="P412" s="64"/>
      <c r="Q412" s="64"/>
      <c r="R412" s="64">
        <f>+'[12]Приложение № 4'!E384</f>
        <v>233973.65</v>
      </c>
      <c r="S412" s="64"/>
      <c r="T412" s="64"/>
      <c r="U412" s="64">
        <f t="shared" si="53"/>
        <v>75.049284706184238</v>
      </c>
      <c r="V412" s="64">
        <f t="shared" si="53"/>
        <v>75.049284706184238</v>
      </c>
      <c r="W412" s="163" t="s">
        <v>495</v>
      </c>
      <c r="X412" s="156" t="e">
        <f>+N412-#REF!</f>
        <v>#REF!</v>
      </c>
      <c r="Y412" s="153">
        <v>919972.75</v>
      </c>
      <c r="Z412" s="153">
        <f t="shared" si="64"/>
        <v>359170.95600000001</v>
      </c>
      <c r="AB412" s="156" t="e">
        <f>+N412-#REF!</f>
        <v>#REF!</v>
      </c>
      <c r="AC412" s="164">
        <f>+N412-'[12]Приложение № 4'!E384</f>
        <v>0</v>
      </c>
      <c r="AE412" s="165" t="e">
        <f>+N412-#REF!</f>
        <v>#REF!</v>
      </c>
      <c r="AG412" s="3" t="s">
        <v>365</v>
      </c>
      <c r="AH412" s="4">
        <f t="shared" si="59"/>
        <v>235114.08057599998</v>
      </c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>
        <v>211114.08057599998</v>
      </c>
      <c r="AV412" s="4">
        <v>24000</v>
      </c>
      <c r="AW412" s="4"/>
      <c r="AZ412" s="156">
        <f>+N412-'Приложение №4'!E407</f>
        <v>0</v>
      </c>
    </row>
    <row r="413" spans="1:52" ht="15" x14ac:dyDescent="0.25">
      <c r="A413" s="122">
        <f t="shared" si="60"/>
        <v>396</v>
      </c>
      <c r="B413" s="62">
        <f t="shared" si="61"/>
        <v>396</v>
      </c>
      <c r="C413" s="62" t="s">
        <v>521</v>
      </c>
      <c r="D413" s="62" t="s">
        <v>366</v>
      </c>
      <c r="E413" s="123" t="s">
        <v>115</v>
      </c>
      <c r="F413" s="123"/>
      <c r="G413" s="123" t="s">
        <v>96</v>
      </c>
      <c r="H413" s="123" t="s">
        <v>108</v>
      </c>
      <c r="I413" s="123" t="s">
        <v>105</v>
      </c>
      <c r="J413" s="64">
        <v>3258</v>
      </c>
      <c r="K413" s="64">
        <v>3019.8</v>
      </c>
      <c r="L413" s="64">
        <v>0</v>
      </c>
      <c r="M413" s="124">
        <v>132</v>
      </c>
      <c r="N413" s="95">
        <f t="shared" si="63"/>
        <v>233740.11000000002</v>
      </c>
      <c r="O413" s="64">
        <v>0</v>
      </c>
      <c r="P413" s="64"/>
      <c r="Q413" s="64"/>
      <c r="R413" s="64">
        <f>+'[12]Приложение № 4'!E385</f>
        <v>233740.11000000002</v>
      </c>
      <c r="S413" s="64"/>
      <c r="T413" s="64"/>
      <c r="U413" s="64">
        <f t="shared" si="53"/>
        <v>77.402513411484207</v>
      </c>
      <c r="V413" s="64">
        <f t="shared" si="53"/>
        <v>77.402513411484207</v>
      </c>
      <c r="W413" s="163" t="s">
        <v>495</v>
      </c>
      <c r="X413" s="156" t="e">
        <f>+N413-#REF!</f>
        <v>#REF!</v>
      </c>
      <c r="Y413" s="153">
        <v>815711.41</v>
      </c>
      <c r="Z413" s="153">
        <f t="shared" si="64"/>
        <v>329762.16000000003</v>
      </c>
      <c r="AB413" s="156" t="e">
        <f>+N413-#REF!</f>
        <v>#REF!</v>
      </c>
      <c r="AC413" s="164">
        <f>+N413-'[12]Приложение № 4'!E385</f>
        <v>0</v>
      </c>
      <c r="AE413" s="165" t="e">
        <f>+N413-#REF!</f>
        <v>#REF!</v>
      </c>
      <c r="AG413" s="3" t="s">
        <v>366</v>
      </c>
      <c r="AH413" s="4">
        <f t="shared" si="59"/>
        <v>234879.26611199998</v>
      </c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>
        <v>210879.26611199998</v>
      </c>
      <c r="AV413" s="4">
        <v>24000</v>
      </c>
      <c r="AW413" s="4"/>
      <c r="AZ413" s="156">
        <f>+N413-'Приложение №4'!E408</f>
        <v>0</v>
      </c>
    </row>
    <row r="414" spans="1:52" ht="15" x14ac:dyDescent="0.25">
      <c r="A414" s="122">
        <f t="shared" si="60"/>
        <v>397</v>
      </c>
      <c r="B414" s="62">
        <f t="shared" si="61"/>
        <v>397</v>
      </c>
      <c r="C414" s="62" t="s">
        <v>521</v>
      </c>
      <c r="D414" s="62" t="s">
        <v>367</v>
      </c>
      <c r="E414" s="123" t="s">
        <v>500</v>
      </c>
      <c r="F414" s="123"/>
      <c r="G414" s="123" t="s">
        <v>96</v>
      </c>
      <c r="H414" s="123" t="s">
        <v>105</v>
      </c>
      <c r="I414" s="123" t="s">
        <v>105</v>
      </c>
      <c r="J414" s="64">
        <v>2719.1</v>
      </c>
      <c r="K414" s="64">
        <v>2367.3000000000002</v>
      </c>
      <c r="L414" s="64">
        <v>192</v>
      </c>
      <c r="M414" s="124">
        <v>120</v>
      </c>
      <c r="N414" s="95">
        <f t="shared" si="63"/>
        <v>181002.58000000002</v>
      </c>
      <c r="O414" s="64">
        <v>0</v>
      </c>
      <c r="P414" s="64"/>
      <c r="Q414" s="64"/>
      <c r="R414" s="64">
        <f>+'[12]Приложение № 4'!E386</f>
        <v>181002.58000000002</v>
      </c>
      <c r="S414" s="64"/>
      <c r="T414" s="64"/>
      <c r="U414" s="64">
        <f t="shared" si="53"/>
        <v>70.723471261673112</v>
      </c>
      <c r="V414" s="64">
        <f t="shared" si="53"/>
        <v>70.723471261673112</v>
      </c>
      <c r="W414" s="163" t="s">
        <v>495</v>
      </c>
      <c r="X414" s="156" t="e">
        <f>+N414-#REF!</f>
        <v>#REF!</v>
      </c>
      <c r="Y414" s="153">
        <v>666617.75</v>
      </c>
      <c r="Z414" s="153">
        <f t="shared" si="64"/>
        <v>300418.92</v>
      </c>
      <c r="AB414" s="156" t="e">
        <f>+N414-#REF!</f>
        <v>#REF!</v>
      </c>
      <c r="AC414" s="164">
        <f>+N414-'[12]Приложение № 4'!E386</f>
        <v>0</v>
      </c>
      <c r="AE414" s="165" t="e">
        <f>+N414-#REF!</f>
        <v>#REF!</v>
      </c>
      <c r="AG414" s="3" t="s">
        <v>367</v>
      </c>
      <c r="AH414" s="4">
        <f t="shared" si="59"/>
        <v>181855.310784</v>
      </c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>
        <v>157855.310784</v>
      </c>
      <c r="AV414" s="4">
        <v>24000</v>
      </c>
      <c r="AW414" s="4"/>
      <c r="AZ414" s="156">
        <f>+N414-'Приложение №4'!E409</f>
        <v>0</v>
      </c>
    </row>
    <row r="415" spans="1:52" ht="15" x14ac:dyDescent="0.25">
      <c r="A415" s="122">
        <f t="shared" si="60"/>
        <v>398</v>
      </c>
      <c r="B415" s="62">
        <f t="shared" si="61"/>
        <v>398</v>
      </c>
      <c r="C415" s="62" t="s">
        <v>521</v>
      </c>
      <c r="D415" s="62" t="s">
        <v>368</v>
      </c>
      <c r="E415" s="123" t="s">
        <v>502</v>
      </c>
      <c r="F415" s="123"/>
      <c r="G415" s="123" t="s">
        <v>96</v>
      </c>
      <c r="H415" s="123" t="s">
        <v>105</v>
      </c>
      <c r="I415" s="123" t="s">
        <v>105</v>
      </c>
      <c r="J415" s="64">
        <v>2789.5</v>
      </c>
      <c r="K415" s="64">
        <v>2469.5</v>
      </c>
      <c r="L415" s="64">
        <v>73.5</v>
      </c>
      <c r="M415" s="124">
        <v>116</v>
      </c>
      <c r="N415" s="95">
        <f t="shared" si="63"/>
        <v>180630.75</v>
      </c>
      <c r="O415" s="64">
        <v>0</v>
      </c>
      <c r="P415" s="64"/>
      <c r="Q415" s="64"/>
      <c r="R415" s="64">
        <f>+'[12]Приложение № 4'!E387</f>
        <v>180630.75</v>
      </c>
      <c r="S415" s="64"/>
      <c r="T415" s="64"/>
      <c r="U415" s="64">
        <f t="shared" si="53"/>
        <v>71.030574125049156</v>
      </c>
      <c r="V415" s="64">
        <f t="shared" si="53"/>
        <v>71.030574125049156</v>
      </c>
      <c r="W415" s="163" t="s">
        <v>495</v>
      </c>
      <c r="X415" s="156" t="e">
        <f>+N415-#REF!</f>
        <v>#REF!</v>
      </c>
      <c r="Y415" s="153">
        <v>771792.86</v>
      </c>
      <c r="Z415" s="153">
        <f t="shared" si="64"/>
        <v>285712.98</v>
      </c>
      <c r="AB415" s="156" t="e">
        <f>+N415-#REF!</f>
        <v>#REF!</v>
      </c>
      <c r="AC415" s="164">
        <f>+N415-'[12]Приложение № 4'!E387</f>
        <v>0</v>
      </c>
      <c r="AE415" s="165" t="e">
        <f>+N415-#REF!</f>
        <v>#REF!</v>
      </c>
      <c r="AG415" s="3" t="s">
        <v>368</v>
      </c>
      <c r="AH415" s="4">
        <f t="shared" si="59"/>
        <v>181481.46144000001</v>
      </c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>
        <v>157481.46144000001</v>
      </c>
      <c r="AV415" s="4">
        <v>24000</v>
      </c>
      <c r="AW415" s="4"/>
      <c r="AZ415" s="156">
        <f>+N415-'Приложение №4'!E410</f>
        <v>0</v>
      </c>
    </row>
    <row r="416" spans="1:52" ht="15" x14ac:dyDescent="0.25">
      <c r="A416" s="122">
        <f t="shared" si="60"/>
        <v>399</v>
      </c>
      <c r="B416" s="62">
        <f t="shared" si="61"/>
        <v>399</v>
      </c>
      <c r="C416" s="62" t="s">
        <v>137</v>
      </c>
      <c r="D416" s="62" t="s">
        <v>463</v>
      </c>
      <c r="E416" s="123" t="s">
        <v>121</v>
      </c>
      <c r="F416" s="123"/>
      <c r="G416" s="123" t="s">
        <v>96</v>
      </c>
      <c r="H416" s="123" t="s">
        <v>108</v>
      </c>
      <c r="I416" s="123" t="s">
        <v>105</v>
      </c>
      <c r="J416" s="64">
        <v>4924.2</v>
      </c>
      <c r="K416" s="64">
        <v>4233.8</v>
      </c>
      <c r="L416" s="64">
        <v>71.2</v>
      </c>
      <c r="M416" s="124">
        <v>80</v>
      </c>
      <c r="N416" s="95">
        <f t="shared" si="63"/>
        <v>861634.79</v>
      </c>
      <c r="O416" s="64">
        <v>0</v>
      </c>
      <c r="P416" s="64"/>
      <c r="Q416" s="64"/>
      <c r="R416" s="64">
        <f>+'[12]Приложение № 4'!E388</f>
        <v>861634.79</v>
      </c>
      <c r="S416" s="64"/>
      <c r="T416" s="64"/>
      <c r="U416" s="64">
        <f t="shared" si="53"/>
        <v>200.14745412311268</v>
      </c>
      <c r="V416" s="64">
        <f t="shared" si="53"/>
        <v>200.14745412311268</v>
      </c>
      <c r="W416" s="163" t="s">
        <v>495</v>
      </c>
      <c r="X416" s="156" t="e">
        <f>+N416-#REF!</f>
        <v>#REF!</v>
      </c>
      <c r="Y416" s="153">
        <v>1851250.39</v>
      </c>
      <c r="Z416" s="153">
        <f t="shared" si="64"/>
        <v>477872.49599999998</v>
      </c>
      <c r="AB416" s="156" t="e">
        <f>+N416-#REF!</f>
        <v>#REF!</v>
      </c>
      <c r="AC416" s="164">
        <f>+N416-'[12]Приложение № 4'!E388</f>
        <v>0</v>
      </c>
      <c r="AE416" s="165" t="e">
        <f>+N416-#REF!</f>
        <v>#REF!</v>
      </c>
      <c r="AG416" s="3" t="s">
        <v>463</v>
      </c>
      <c r="AH416" s="4">
        <f t="shared" si="59"/>
        <v>880108.17723007197</v>
      </c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>
        <v>833986.07855167193</v>
      </c>
      <c r="AV416" s="4">
        <v>46122.098678399998</v>
      </c>
      <c r="AW416" s="4"/>
      <c r="AZ416" s="156">
        <f>+N416-'Приложение №4'!E411</f>
        <v>0</v>
      </c>
    </row>
    <row r="417" spans="1:52" ht="15" x14ac:dyDescent="0.25">
      <c r="A417" s="122">
        <f t="shared" si="60"/>
        <v>400</v>
      </c>
      <c r="B417" s="62">
        <f t="shared" si="61"/>
        <v>400</v>
      </c>
      <c r="C417" s="62" t="s">
        <v>137</v>
      </c>
      <c r="D417" s="22" t="s">
        <v>603</v>
      </c>
      <c r="E417" s="123">
        <v>1982</v>
      </c>
      <c r="F417" s="123"/>
      <c r="G417" s="123" t="s">
        <v>43</v>
      </c>
      <c r="H417" s="123" t="s">
        <v>108</v>
      </c>
      <c r="I417" s="123" t="s">
        <v>105</v>
      </c>
      <c r="J417" s="64">
        <v>4959.8999999999996</v>
      </c>
      <c r="K417" s="64">
        <v>4332.8999999999996</v>
      </c>
      <c r="L417" s="64">
        <v>85.1</v>
      </c>
      <c r="M417" s="124">
        <v>166</v>
      </c>
      <c r="N417" s="95">
        <f t="shared" si="63"/>
        <v>177445.02</v>
      </c>
      <c r="O417" s="64"/>
      <c r="P417" s="64"/>
      <c r="Q417" s="64"/>
      <c r="R417" s="64">
        <f>+'Приложение №4'!E412</f>
        <v>177445.02</v>
      </c>
      <c r="S417" s="64"/>
      <c r="T417" s="64"/>
      <c r="U417" s="64">
        <f t="shared" si="53"/>
        <v>40.164105930285196</v>
      </c>
      <c r="V417" s="64">
        <f t="shared" si="53"/>
        <v>40.164105930285196</v>
      </c>
      <c r="W417" s="163" t="s">
        <v>495</v>
      </c>
      <c r="X417" s="156"/>
      <c r="AB417" s="156"/>
      <c r="AC417" s="164"/>
      <c r="AE417" s="165"/>
      <c r="AG417" s="3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Z417" s="156">
        <f>+N417-'Приложение №4'!E412</f>
        <v>0</v>
      </c>
    </row>
    <row r="418" spans="1:52" ht="15" x14ac:dyDescent="0.25">
      <c r="A418" s="122">
        <f t="shared" si="60"/>
        <v>401</v>
      </c>
      <c r="B418" s="62">
        <f t="shared" si="61"/>
        <v>401</v>
      </c>
      <c r="C418" s="62" t="s">
        <v>137</v>
      </c>
      <c r="D418" s="62" t="s">
        <v>464</v>
      </c>
      <c r="E418" s="123" t="s">
        <v>135</v>
      </c>
      <c r="F418" s="123"/>
      <c r="G418" s="123" t="s">
        <v>96</v>
      </c>
      <c r="H418" s="123" t="s">
        <v>105</v>
      </c>
      <c r="I418" s="123" t="s">
        <v>98</v>
      </c>
      <c r="J418" s="64">
        <v>1192.7</v>
      </c>
      <c r="K418" s="64">
        <v>962</v>
      </c>
      <c r="L418" s="64">
        <v>0</v>
      </c>
      <c r="M418" s="124">
        <v>41</v>
      </c>
      <c r="N418" s="95">
        <f t="shared" si="63"/>
        <v>177214.19</v>
      </c>
      <c r="O418" s="64">
        <v>0</v>
      </c>
      <c r="P418" s="64"/>
      <c r="Q418" s="64"/>
      <c r="R418" s="64">
        <f>+'[12]Приложение № 4'!E389</f>
        <v>177214.19</v>
      </c>
      <c r="S418" s="64"/>
      <c r="T418" s="64"/>
      <c r="U418" s="64">
        <f t="shared" ref="U418:V429" si="65">$N418/($K418+$L418)</f>
        <v>184.21433471933472</v>
      </c>
      <c r="V418" s="64">
        <f t="shared" si="65"/>
        <v>184.21433471933472</v>
      </c>
      <c r="W418" s="163" t="s">
        <v>495</v>
      </c>
      <c r="X418" s="156" t="e">
        <f>+N418-#REF!</f>
        <v>#REF!</v>
      </c>
      <c r="Y418" s="153">
        <v>454660.03</v>
      </c>
      <c r="Z418" s="153">
        <f t="shared" si="64"/>
        <v>105050.4</v>
      </c>
      <c r="AB418" s="156" t="e">
        <f>+N418-#REF!</f>
        <v>#REF!</v>
      </c>
      <c r="AC418" s="164">
        <f>+N418-'[12]Приложение № 4'!E389</f>
        <v>0</v>
      </c>
      <c r="AE418" s="165" t="e">
        <f>+N418-#REF!</f>
        <v>#REF!</v>
      </c>
      <c r="AG418" s="3" t="s">
        <v>464</v>
      </c>
      <c r="AH418" s="4">
        <f t="shared" si="59"/>
        <v>194103.02713208791</v>
      </c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>
        <v>153388.80420248793</v>
      </c>
      <c r="AV418" s="4">
        <v>40714.2229296</v>
      </c>
      <c r="AW418" s="4"/>
      <c r="AZ418" s="156">
        <f>+N418-'Приложение №4'!E413</f>
        <v>0</v>
      </c>
    </row>
    <row r="419" spans="1:52" ht="15" x14ac:dyDescent="0.25">
      <c r="A419" s="122">
        <f t="shared" si="60"/>
        <v>402</v>
      </c>
      <c r="B419" s="62">
        <f t="shared" si="61"/>
        <v>402</v>
      </c>
      <c r="C419" s="62" t="s">
        <v>138</v>
      </c>
      <c r="D419" s="62" t="s">
        <v>465</v>
      </c>
      <c r="E419" s="123" t="s">
        <v>525</v>
      </c>
      <c r="F419" s="123"/>
      <c r="G419" s="123" t="s">
        <v>96</v>
      </c>
      <c r="H419" s="123" t="s">
        <v>98</v>
      </c>
      <c r="I419" s="123" t="s">
        <v>98</v>
      </c>
      <c r="J419" s="64">
        <v>929.3</v>
      </c>
      <c r="K419" s="64">
        <v>848.3</v>
      </c>
      <c r="L419" s="64">
        <v>81</v>
      </c>
      <c r="M419" s="124">
        <v>22</v>
      </c>
      <c r="N419" s="95">
        <f t="shared" si="63"/>
        <v>128755.15</v>
      </c>
      <c r="O419" s="64">
        <v>0</v>
      </c>
      <c r="P419" s="64"/>
      <c r="Q419" s="64"/>
      <c r="R419" s="64">
        <f>+'[12]Приложение № 4'!E390</f>
        <v>128755.15</v>
      </c>
      <c r="S419" s="64"/>
      <c r="T419" s="64"/>
      <c r="U419" s="64">
        <f t="shared" si="65"/>
        <v>138.55068331001829</v>
      </c>
      <c r="V419" s="64">
        <f t="shared" si="65"/>
        <v>138.55068331001829</v>
      </c>
      <c r="W419" s="163" t="s">
        <v>495</v>
      </c>
      <c r="X419" s="156" t="e">
        <f>+N419-#REF!</f>
        <v>#REF!</v>
      </c>
      <c r="Y419" s="153">
        <v>191367.33</v>
      </c>
      <c r="Z419" s="153">
        <f t="shared" si="64"/>
        <v>110315.03999999998</v>
      </c>
      <c r="AB419" s="156" t="e">
        <f>+N419-#REF!</f>
        <v>#REF!</v>
      </c>
      <c r="AC419" s="164">
        <f>+N419-'[12]Приложение № 4'!E390</f>
        <v>0</v>
      </c>
      <c r="AE419" s="165" t="e">
        <f>+N419-#REF!</f>
        <v>#REF!</v>
      </c>
      <c r="AG419" s="3" t="s">
        <v>465</v>
      </c>
      <c r="AH419" s="4">
        <f t="shared" si="59"/>
        <v>145389.44910462722</v>
      </c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>
        <v>121389.44910462722</v>
      </c>
      <c r="AV419" s="4">
        <v>24000</v>
      </c>
      <c r="AW419" s="4"/>
      <c r="AZ419" s="156">
        <f>+N419-'Приложение №4'!E414</f>
        <v>0</v>
      </c>
    </row>
    <row r="420" spans="1:52" ht="15" x14ac:dyDescent="0.25">
      <c r="A420" s="122">
        <f t="shared" si="60"/>
        <v>403</v>
      </c>
      <c r="B420" s="62">
        <f t="shared" si="61"/>
        <v>403</v>
      </c>
      <c r="C420" s="62" t="s">
        <v>521</v>
      </c>
      <c r="D420" s="62" t="s">
        <v>466</v>
      </c>
      <c r="E420" s="123" t="s">
        <v>110</v>
      </c>
      <c r="F420" s="123"/>
      <c r="G420" s="123" t="s">
        <v>96</v>
      </c>
      <c r="H420" s="123" t="s">
        <v>108</v>
      </c>
      <c r="I420" s="123" t="s">
        <v>98</v>
      </c>
      <c r="J420" s="64">
        <v>1745.5</v>
      </c>
      <c r="K420" s="64">
        <v>1575.9</v>
      </c>
      <c r="L420" s="64">
        <v>0</v>
      </c>
      <c r="M420" s="124">
        <v>61</v>
      </c>
      <c r="N420" s="95">
        <f t="shared" si="63"/>
        <v>791799.27999999991</v>
      </c>
      <c r="O420" s="64">
        <v>0</v>
      </c>
      <c r="P420" s="64"/>
      <c r="Q420" s="64"/>
      <c r="R420" s="64">
        <f>+'[12]Приложение № 4'!E391</f>
        <v>791799.27999999991</v>
      </c>
      <c r="S420" s="64"/>
      <c r="T420" s="64"/>
      <c r="U420" s="64">
        <f t="shared" si="65"/>
        <v>502.44259153499581</v>
      </c>
      <c r="V420" s="64">
        <f t="shared" si="65"/>
        <v>502.44259153499581</v>
      </c>
      <c r="W420" s="163" t="s">
        <v>495</v>
      </c>
      <c r="X420" s="156" t="e">
        <f>+N420-#REF!</f>
        <v>#REF!</v>
      </c>
      <c r="Y420" s="153">
        <v>515625.18</v>
      </c>
      <c r="Z420" s="153">
        <f t="shared" si="64"/>
        <v>172088.28</v>
      </c>
      <c r="AB420" s="156" t="e">
        <f>+N420-#REF!</f>
        <v>#REF!</v>
      </c>
      <c r="AC420" s="164">
        <f>+N420-'[12]Приложение № 4'!E391</f>
        <v>0</v>
      </c>
      <c r="AE420" s="165" t="e">
        <f>+N420-#REF!</f>
        <v>#REF!</v>
      </c>
      <c r="AG420" s="3" t="s">
        <v>466</v>
      </c>
      <c r="AH420" s="4">
        <f t="shared" si="59"/>
        <v>809905.83697730012</v>
      </c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>
        <v>768650.81116130017</v>
      </c>
      <c r="AV420" s="4">
        <v>41255.025816000001</v>
      </c>
      <c r="AW420" s="4"/>
      <c r="AZ420" s="156">
        <f>+N420-'Приложение №4'!E415</f>
        <v>0</v>
      </c>
    </row>
    <row r="421" spans="1:52" ht="15" x14ac:dyDescent="0.25">
      <c r="A421" s="122">
        <f t="shared" si="60"/>
        <v>404</v>
      </c>
      <c r="B421" s="62">
        <f t="shared" si="61"/>
        <v>404</v>
      </c>
      <c r="C421" s="62" t="s">
        <v>521</v>
      </c>
      <c r="D421" s="62" t="s">
        <v>467</v>
      </c>
      <c r="E421" s="123" t="s">
        <v>152</v>
      </c>
      <c r="F421" s="123"/>
      <c r="G421" s="123" t="s">
        <v>96</v>
      </c>
      <c r="H421" s="123" t="s">
        <v>105</v>
      </c>
      <c r="I421" s="123" t="s">
        <v>105</v>
      </c>
      <c r="J421" s="64">
        <v>2699.1</v>
      </c>
      <c r="K421" s="64">
        <v>2437.5</v>
      </c>
      <c r="L421" s="64">
        <v>0</v>
      </c>
      <c r="M421" s="124">
        <v>121</v>
      </c>
      <c r="N421" s="95">
        <f t="shared" si="63"/>
        <v>491970.58</v>
      </c>
      <c r="O421" s="64">
        <v>0</v>
      </c>
      <c r="P421" s="64"/>
      <c r="Q421" s="64"/>
      <c r="R421" s="64">
        <f>+'Приложение №4'!E416</f>
        <v>491970.58</v>
      </c>
      <c r="S421" s="64"/>
      <c r="T421" s="64"/>
      <c r="U421" s="64">
        <f t="shared" si="65"/>
        <v>201.83408410256411</v>
      </c>
      <c r="V421" s="64">
        <f t="shared" si="65"/>
        <v>201.83408410256411</v>
      </c>
      <c r="W421" s="163" t="s">
        <v>495</v>
      </c>
      <c r="X421" s="156" t="e">
        <f>+N421-#REF!</f>
        <v>#REF!</v>
      </c>
      <c r="Y421" s="153">
        <v>796122.56</v>
      </c>
      <c r="Z421" s="153">
        <f t="shared" si="64"/>
        <v>266175</v>
      </c>
      <c r="AB421" s="156" t="e">
        <f>+N421-#REF!</f>
        <v>#REF!</v>
      </c>
      <c r="AC421" s="164"/>
      <c r="AE421" s="165" t="e">
        <f>+N421-#REF!</f>
        <v>#REF!</v>
      </c>
      <c r="AG421" s="3" t="s">
        <v>467</v>
      </c>
      <c r="AH421" s="4">
        <f t="shared" si="59"/>
        <v>507330.5609837948</v>
      </c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>
        <v>463926.63989339478</v>
      </c>
      <c r="AV421" s="4">
        <v>43403.921090399999</v>
      </c>
      <c r="AW421" s="4"/>
      <c r="AZ421" s="156">
        <f>+N421-'Приложение №4'!E416</f>
        <v>0</v>
      </c>
    </row>
    <row r="422" spans="1:52" ht="15" x14ac:dyDescent="0.25">
      <c r="A422" s="122">
        <f t="shared" si="60"/>
        <v>405</v>
      </c>
      <c r="B422" s="62">
        <f t="shared" si="61"/>
        <v>405</v>
      </c>
      <c r="C422" s="62" t="s">
        <v>521</v>
      </c>
      <c r="D422" s="62" t="s">
        <v>468</v>
      </c>
      <c r="E422" s="123" t="s">
        <v>110</v>
      </c>
      <c r="F422" s="123"/>
      <c r="G422" s="123" t="s">
        <v>99</v>
      </c>
      <c r="H422" s="123" t="s">
        <v>105</v>
      </c>
      <c r="I422" s="123" t="s">
        <v>105</v>
      </c>
      <c r="J422" s="64">
        <v>4071.8</v>
      </c>
      <c r="K422" s="64">
        <v>3495</v>
      </c>
      <c r="L422" s="64">
        <v>0</v>
      </c>
      <c r="M422" s="124">
        <v>160</v>
      </c>
      <c r="N422" s="95">
        <f t="shared" si="63"/>
        <v>579805.47</v>
      </c>
      <c r="O422" s="64">
        <v>0</v>
      </c>
      <c r="P422" s="64"/>
      <c r="Q422" s="64"/>
      <c r="R422" s="64">
        <f>+'[12]Приложение № 4'!E393</f>
        <v>579805.47</v>
      </c>
      <c r="S422" s="64"/>
      <c r="T422" s="64"/>
      <c r="U422" s="64">
        <f t="shared" si="65"/>
        <v>165.89569957081545</v>
      </c>
      <c r="V422" s="64">
        <f t="shared" si="65"/>
        <v>165.89569957081545</v>
      </c>
      <c r="W422" s="163" t="s">
        <v>495</v>
      </c>
      <c r="X422" s="156" t="e">
        <f>+N422-#REF!</f>
        <v>#REF!</v>
      </c>
      <c r="Y422" s="153">
        <v>1021330.64</v>
      </c>
      <c r="Z422" s="153">
        <f t="shared" si="64"/>
        <v>381654</v>
      </c>
      <c r="AB422" s="156" t="e">
        <f>+N422-#REF!</f>
        <v>#REF!</v>
      </c>
      <c r="AC422" s="164">
        <f>+N422-'[12]Приложение № 4'!E393</f>
        <v>0</v>
      </c>
      <c r="AE422" s="165" t="e">
        <f>+N422-#REF!</f>
        <v>#REF!</v>
      </c>
      <c r="AG422" s="3" t="s">
        <v>468</v>
      </c>
      <c r="AH422" s="4">
        <f t="shared" si="59"/>
        <v>596798.47644356079</v>
      </c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>
        <v>550942.4409443608</v>
      </c>
      <c r="AV422" s="4">
        <v>45856.035499199999</v>
      </c>
      <c r="AW422" s="4"/>
      <c r="AZ422" s="156">
        <f>+N422-'Приложение №4'!E417</f>
        <v>0</v>
      </c>
    </row>
    <row r="423" spans="1:52" ht="15" x14ac:dyDescent="0.25">
      <c r="A423" s="122">
        <f t="shared" si="60"/>
        <v>406</v>
      </c>
      <c r="B423" s="62">
        <f t="shared" si="61"/>
        <v>406</v>
      </c>
      <c r="C423" s="62" t="s">
        <v>521</v>
      </c>
      <c r="D423" s="62" t="s">
        <v>469</v>
      </c>
      <c r="E423" s="123" t="s">
        <v>152</v>
      </c>
      <c r="F423" s="123"/>
      <c r="G423" s="123" t="s">
        <v>96</v>
      </c>
      <c r="H423" s="123" t="s">
        <v>108</v>
      </c>
      <c r="I423" s="123" t="s">
        <v>98</v>
      </c>
      <c r="J423" s="64">
        <v>1732.6</v>
      </c>
      <c r="K423" s="64">
        <v>1559.6</v>
      </c>
      <c r="L423" s="64">
        <v>0</v>
      </c>
      <c r="M423" s="124">
        <v>59</v>
      </c>
      <c r="N423" s="95">
        <f t="shared" si="63"/>
        <v>791721.63</v>
      </c>
      <c r="O423" s="64">
        <v>0</v>
      </c>
      <c r="P423" s="64"/>
      <c r="Q423" s="64"/>
      <c r="R423" s="64">
        <f>+'Приложение №4'!E418</f>
        <v>791721.63</v>
      </c>
      <c r="S423" s="64"/>
      <c r="T423" s="64"/>
      <c r="U423" s="64">
        <f t="shared" si="65"/>
        <v>507.64403052064637</v>
      </c>
      <c r="V423" s="64">
        <f t="shared" si="65"/>
        <v>507.64403052064637</v>
      </c>
      <c r="W423" s="163" t="s">
        <v>495</v>
      </c>
      <c r="X423" s="156" t="e">
        <f>+N423-#REF!</f>
        <v>#REF!</v>
      </c>
      <c r="Y423" s="153">
        <v>437388.42</v>
      </c>
      <c r="Z423" s="153">
        <f t="shared" si="64"/>
        <v>170308.31999999998</v>
      </c>
      <c r="AB423" s="156" t="e">
        <f>+N423-#REF!</f>
        <v>#REF!</v>
      </c>
      <c r="AC423" s="164"/>
      <c r="AE423" s="165" t="e">
        <f>+N423-#REF!</f>
        <v>#REF!</v>
      </c>
      <c r="AG423" s="3" t="s">
        <v>469</v>
      </c>
      <c r="AH423" s="4">
        <f t="shared" si="59"/>
        <v>808706.6246101812</v>
      </c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>
        <v>767471.35065498122</v>
      </c>
      <c r="AV423" s="4">
        <v>41235.273955199998</v>
      </c>
      <c r="AW423" s="4"/>
      <c r="AZ423" s="156">
        <f>+N423-'Приложение №4'!E418</f>
        <v>0</v>
      </c>
    </row>
    <row r="424" spans="1:52" ht="15" x14ac:dyDescent="0.25">
      <c r="A424" s="122">
        <f t="shared" si="60"/>
        <v>407</v>
      </c>
      <c r="B424" s="62">
        <f t="shared" si="61"/>
        <v>407</v>
      </c>
      <c r="C424" s="62" t="s">
        <v>521</v>
      </c>
      <c r="D424" s="62" t="s">
        <v>470</v>
      </c>
      <c r="E424" s="123" t="s">
        <v>125</v>
      </c>
      <c r="F424" s="123"/>
      <c r="G424" s="123" t="s">
        <v>96</v>
      </c>
      <c r="H424" s="123" t="s">
        <v>105</v>
      </c>
      <c r="I424" s="123" t="s">
        <v>105</v>
      </c>
      <c r="J424" s="64">
        <v>2944.2</v>
      </c>
      <c r="K424" s="64">
        <v>2714.6</v>
      </c>
      <c r="L424" s="64">
        <v>0</v>
      </c>
      <c r="M424" s="124">
        <v>134</v>
      </c>
      <c r="N424" s="95">
        <f t="shared" si="63"/>
        <v>494691.55</v>
      </c>
      <c r="O424" s="64">
        <v>0</v>
      </c>
      <c r="P424" s="64"/>
      <c r="Q424" s="64"/>
      <c r="R424" s="64">
        <f>+'[12]Приложение № 4'!E395</f>
        <v>494691.55</v>
      </c>
      <c r="S424" s="64"/>
      <c r="T424" s="64"/>
      <c r="U424" s="64">
        <f t="shared" si="65"/>
        <v>182.23368083695573</v>
      </c>
      <c r="V424" s="64">
        <f t="shared" si="65"/>
        <v>182.23368083695573</v>
      </c>
      <c r="W424" s="163" t="s">
        <v>495</v>
      </c>
      <c r="X424" s="156" t="e">
        <f>+N424-#REF!</f>
        <v>#REF!</v>
      </c>
      <c r="Y424" s="153">
        <v>848134.57</v>
      </c>
      <c r="Z424" s="153">
        <f t="shared" si="64"/>
        <v>296434.31999999995</v>
      </c>
      <c r="AB424" s="156" t="e">
        <f>+N424-#REF!</f>
        <v>#REF!</v>
      </c>
      <c r="AC424" s="164">
        <f>+N424-'[12]Приложение № 4'!E395</f>
        <v>0</v>
      </c>
      <c r="AE424" s="165" t="e">
        <f>+N424-#REF!</f>
        <v>#REF!</v>
      </c>
      <c r="AG424" s="3" t="s">
        <v>470</v>
      </c>
      <c r="AH424" s="4">
        <f t="shared" si="59"/>
        <v>511237.51270750386</v>
      </c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>
        <v>467395.75870270387</v>
      </c>
      <c r="AV424" s="4">
        <v>43841.754004800001</v>
      </c>
      <c r="AW424" s="4"/>
      <c r="AZ424" s="156">
        <f>+N424-'Приложение №4'!E419</f>
        <v>0</v>
      </c>
    </row>
    <row r="425" spans="1:52" ht="15" x14ac:dyDescent="0.25">
      <c r="A425" s="122">
        <f t="shared" si="60"/>
        <v>408</v>
      </c>
      <c r="B425" s="62">
        <f t="shared" si="61"/>
        <v>408</v>
      </c>
      <c r="C425" s="62" t="s">
        <v>520</v>
      </c>
      <c r="D425" s="62" t="s">
        <v>602</v>
      </c>
      <c r="E425" s="123">
        <v>1986</v>
      </c>
      <c r="F425" s="123"/>
      <c r="G425" s="123" t="s">
        <v>48</v>
      </c>
      <c r="H425" s="123" t="s">
        <v>98</v>
      </c>
      <c r="I425" s="123" t="s">
        <v>102</v>
      </c>
      <c r="J425" s="64">
        <v>703.3</v>
      </c>
      <c r="K425" s="64">
        <v>630.79999999999995</v>
      </c>
      <c r="L425" s="64">
        <v>0</v>
      </c>
      <c r="M425" s="124">
        <v>35</v>
      </c>
      <c r="N425" s="95">
        <f t="shared" si="63"/>
        <v>6049.96</v>
      </c>
      <c r="O425" s="64"/>
      <c r="P425" s="64"/>
      <c r="Q425" s="64"/>
      <c r="R425" s="64">
        <f>+'Приложение №4'!E420</f>
        <v>6049.96</v>
      </c>
      <c r="S425" s="64"/>
      <c r="T425" s="64"/>
      <c r="U425" s="64">
        <f t="shared" si="65"/>
        <v>9.5909321496512376</v>
      </c>
      <c r="V425" s="64">
        <f t="shared" si="65"/>
        <v>9.5909321496512376</v>
      </c>
      <c r="W425" s="163" t="s">
        <v>495</v>
      </c>
      <c r="X425" s="156"/>
      <c r="AB425" s="156"/>
      <c r="AC425" s="164"/>
      <c r="AE425" s="165"/>
      <c r="AG425" s="3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Z425" s="156">
        <f>+N425-'Приложение №4'!E420</f>
        <v>0</v>
      </c>
    </row>
    <row r="426" spans="1:52" ht="15" x14ac:dyDescent="0.25">
      <c r="A426" s="122">
        <f t="shared" si="60"/>
        <v>409</v>
      </c>
      <c r="B426" s="62">
        <f t="shared" si="61"/>
        <v>409</v>
      </c>
      <c r="C426" s="62" t="s">
        <v>138</v>
      </c>
      <c r="D426" s="62" t="s">
        <v>605</v>
      </c>
      <c r="E426" s="123">
        <v>1988</v>
      </c>
      <c r="F426" s="123"/>
      <c r="G426" s="123" t="s">
        <v>48</v>
      </c>
      <c r="H426" s="123" t="s">
        <v>98</v>
      </c>
      <c r="I426" s="123" t="s">
        <v>102</v>
      </c>
      <c r="J426" s="64">
        <v>746.4</v>
      </c>
      <c r="K426" s="64">
        <v>516.4</v>
      </c>
      <c r="L426" s="64">
        <v>230</v>
      </c>
      <c r="M426" s="124">
        <v>30</v>
      </c>
      <c r="N426" s="95">
        <f t="shared" si="63"/>
        <v>80664.51999999999</v>
      </c>
      <c r="O426" s="64"/>
      <c r="P426" s="64"/>
      <c r="Q426" s="64"/>
      <c r="R426" s="64">
        <f>+'Приложение №4'!E421</f>
        <v>80664.51999999999</v>
      </c>
      <c r="S426" s="64"/>
      <c r="T426" s="64"/>
      <c r="U426" s="64">
        <f t="shared" si="65"/>
        <v>108.071436227224</v>
      </c>
      <c r="V426" s="64">
        <f t="shared" si="65"/>
        <v>108.071436227224</v>
      </c>
      <c r="W426" s="163" t="s">
        <v>495</v>
      </c>
      <c r="X426" s="156"/>
      <c r="AB426" s="156"/>
      <c r="AC426" s="164"/>
      <c r="AE426" s="165"/>
      <c r="AG426" s="3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Z426" s="156">
        <f>+N426-'Приложение №4'!E421</f>
        <v>0</v>
      </c>
    </row>
    <row r="427" spans="1:52" ht="15" x14ac:dyDescent="0.25">
      <c r="A427" s="122">
        <f t="shared" si="60"/>
        <v>410</v>
      </c>
      <c r="B427" s="62">
        <f t="shared" si="61"/>
        <v>410</v>
      </c>
      <c r="C427" s="62" t="s">
        <v>74</v>
      </c>
      <c r="D427" s="62" t="s">
        <v>584</v>
      </c>
      <c r="E427" s="123">
        <v>1976</v>
      </c>
      <c r="F427" s="123">
        <v>1976</v>
      </c>
      <c r="G427" s="123" t="s">
        <v>43</v>
      </c>
      <c r="H427" s="123">
        <v>2</v>
      </c>
      <c r="I427" s="123">
        <v>1</v>
      </c>
      <c r="J427" s="64">
        <v>394</v>
      </c>
      <c r="K427" s="64">
        <v>214.8</v>
      </c>
      <c r="L427" s="64">
        <v>0</v>
      </c>
      <c r="M427" s="124">
        <v>38</v>
      </c>
      <c r="N427" s="95">
        <f t="shared" si="63"/>
        <v>307550.40000000002</v>
      </c>
      <c r="O427" s="64"/>
      <c r="P427" s="64"/>
      <c r="Q427" s="64"/>
      <c r="R427" s="64">
        <f>+'[12]Приложение № 4'!E396</f>
        <v>307550.40000000002</v>
      </c>
      <c r="S427" s="64"/>
      <c r="T427" s="64"/>
      <c r="U427" s="64">
        <f t="shared" si="65"/>
        <v>1431.7988826815642</v>
      </c>
      <c r="V427" s="64">
        <f t="shared" si="65"/>
        <v>1431.7988826815642</v>
      </c>
      <c r="W427" s="163" t="s">
        <v>495</v>
      </c>
      <c r="AC427" s="164">
        <f>+N427-'[12]Приложение № 4'!E396</f>
        <v>0</v>
      </c>
      <c r="AG427" s="172" t="s">
        <v>585</v>
      </c>
      <c r="AH427" s="4">
        <f t="shared" ref="AH427" si="66">SUM(AI427:AW427)</f>
        <v>307550.40000000002</v>
      </c>
      <c r="AI427" s="167"/>
      <c r="AJ427" s="167"/>
      <c r="AK427" s="167"/>
      <c r="AL427" s="167"/>
      <c r="AM427" s="167"/>
      <c r="AN427" s="167"/>
      <c r="AO427" s="167"/>
      <c r="AP427" s="167"/>
      <c r="AQ427" s="167"/>
      <c r="AR427" s="167"/>
      <c r="AS427" s="167"/>
      <c r="AT427" s="167"/>
      <c r="AU427" s="167">
        <v>241340.1</v>
      </c>
      <c r="AV427" s="167">
        <v>66210.3</v>
      </c>
      <c r="AW427" s="168"/>
      <c r="AZ427" s="156">
        <f>+N427-'Приложение №4'!E422</f>
        <v>0</v>
      </c>
    </row>
    <row r="428" spans="1:52" ht="15" x14ac:dyDescent="0.25">
      <c r="A428" s="122">
        <f t="shared" si="60"/>
        <v>411</v>
      </c>
      <c r="B428" s="62">
        <f t="shared" si="61"/>
        <v>411</v>
      </c>
      <c r="C428" s="62" t="s">
        <v>539</v>
      </c>
      <c r="D428" s="62" t="s">
        <v>586</v>
      </c>
      <c r="E428" s="123">
        <v>1992</v>
      </c>
      <c r="F428" s="123">
        <v>2011</v>
      </c>
      <c r="G428" s="123" t="s">
        <v>48</v>
      </c>
      <c r="H428" s="123">
        <v>2</v>
      </c>
      <c r="I428" s="123">
        <v>1</v>
      </c>
      <c r="J428" s="64">
        <v>640.70000000000005</v>
      </c>
      <c r="K428" s="64">
        <v>605.6</v>
      </c>
      <c r="L428" s="64">
        <v>0</v>
      </c>
      <c r="M428" s="124">
        <v>27</v>
      </c>
      <c r="N428" s="95">
        <f t="shared" si="63"/>
        <v>34592.04</v>
      </c>
      <c r="O428" s="64"/>
      <c r="P428" s="65"/>
      <c r="Q428" s="65"/>
      <c r="R428" s="64">
        <f>+'[12]Приложение № 4'!E397</f>
        <v>34592.04</v>
      </c>
      <c r="S428" s="65"/>
      <c r="T428" s="65"/>
      <c r="U428" s="64">
        <f t="shared" si="65"/>
        <v>57.12027741083223</v>
      </c>
      <c r="V428" s="64">
        <f t="shared" si="65"/>
        <v>57.12027741083223</v>
      </c>
      <c r="W428" s="163" t="s">
        <v>495</v>
      </c>
      <c r="X428" s="157"/>
      <c r="Y428" s="158"/>
      <c r="Z428" s="158"/>
      <c r="AA428" s="158"/>
      <c r="AC428" s="164">
        <f>+N428-'[12]Приложение № 4'!E397</f>
        <v>0</v>
      </c>
      <c r="AZ428" s="156">
        <f>+N428-'Приложение №4'!E423</f>
        <v>0</v>
      </c>
    </row>
    <row r="429" spans="1:52" ht="15" x14ac:dyDescent="0.25">
      <c r="A429" s="62">
        <f t="shared" si="60"/>
        <v>412</v>
      </c>
      <c r="B429" s="62">
        <f t="shared" si="61"/>
        <v>412</v>
      </c>
      <c r="C429" s="62" t="s">
        <v>539</v>
      </c>
      <c r="D429" s="62" t="s">
        <v>587</v>
      </c>
      <c r="E429" s="123">
        <v>1987</v>
      </c>
      <c r="F429" s="123">
        <v>2013</v>
      </c>
      <c r="G429" s="123" t="s">
        <v>48</v>
      </c>
      <c r="H429" s="123">
        <v>2</v>
      </c>
      <c r="I429" s="123">
        <v>2</v>
      </c>
      <c r="J429" s="64">
        <v>1208.5999999999999</v>
      </c>
      <c r="K429" s="64">
        <v>1046.8</v>
      </c>
      <c r="L429" s="64">
        <v>0</v>
      </c>
      <c r="M429" s="124">
        <v>50</v>
      </c>
      <c r="N429" s="95">
        <f t="shared" si="63"/>
        <v>45408.83</v>
      </c>
      <c r="O429" s="64"/>
      <c r="P429" s="65"/>
      <c r="Q429" s="65"/>
      <c r="R429" s="64">
        <f>+'[12]Приложение № 4'!E398</f>
        <v>45408.83</v>
      </c>
      <c r="S429" s="65"/>
      <c r="T429" s="65"/>
      <c r="U429" s="64">
        <f t="shared" si="65"/>
        <v>43.378706534199466</v>
      </c>
      <c r="V429" s="64">
        <f t="shared" si="65"/>
        <v>43.378706534199466</v>
      </c>
      <c r="W429" s="159" t="s">
        <v>495</v>
      </c>
      <c r="X429" s="177"/>
      <c r="Y429" s="158"/>
      <c r="Z429" s="158"/>
      <c r="AA429" s="158"/>
      <c r="AC429" s="164">
        <f>+N429-'[12]Приложение № 4'!E398</f>
        <v>0</v>
      </c>
      <c r="AZ429" s="156">
        <f>+N429-'Приложение №4'!E424</f>
        <v>0</v>
      </c>
    </row>
  </sheetData>
  <autoFilter ref="A16:AW455"/>
  <mergeCells count="23">
    <mergeCell ref="A10:W10"/>
    <mergeCell ref="V12:V14"/>
    <mergeCell ref="J12:J14"/>
    <mergeCell ref="K12:L12"/>
    <mergeCell ref="M12:M14"/>
    <mergeCell ref="N12:T12"/>
    <mergeCell ref="U12:U14"/>
    <mergeCell ref="B5:W5"/>
    <mergeCell ref="A12:A15"/>
    <mergeCell ref="B12:B15"/>
    <mergeCell ref="C12:C15"/>
    <mergeCell ref="D12:D15"/>
    <mergeCell ref="E12:F12"/>
    <mergeCell ref="G12:G15"/>
    <mergeCell ref="H12:H15"/>
    <mergeCell ref="I12:I15"/>
    <mergeCell ref="W12:W15"/>
    <mergeCell ref="E13:E15"/>
    <mergeCell ref="F13:F15"/>
    <mergeCell ref="K13:K14"/>
    <mergeCell ref="L13:L14"/>
    <mergeCell ref="N13:N14"/>
    <mergeCell ref="O13:T13"/>
  </mergeCells>
  <conditionalFormatting sqref="AG427">
    <cfRule type="duplicateValues" dxfId="35" priority="23"/>
  </conditionalFormatting>
  <conditionalFormatting sqref="AG285:AG286">
    <cfRule type="duplicateValues" dxfId="34" priority="22"/>
  </conditionalFormatting>
  <conditionalFormatting sqref="B1">
    <cfRule type="duplicateValues" dxfId="33" priority="21"/>
  </conditionalFormatting>
  <conditionalFormatting sqref="D235">
    <cfRule type="duplicateValues" dxfId="32" priority="20"/>
  </conditionalFormatting>
  <conditionalFormatting sqref="D362">
    <cfRule type="duplicateValues" dxfId="31" priority="19"/>
  </conditionalFormatting>
  <conditionalFormatting sqref="D376">
    <cfRule type="duplicateValues" dxfId="30" priority="18"/>
  </conditionalFormatting>
  <conditionalFormatting sqref="D388:D389">
    <cfRule type="duplicateValues" dxfId="29" priority="17"/>
  </conditionalFormatting>
  <conditionalFormatting sqref="D377">
    <cfRule type="duplicateValues" dxfId="28" priority="16"/>
  </conditionalFormatting>
  <conditionalFormatting sqref="D231">
    <cfRule type="duplicateValues" dxfId="27" priority="15"/>
  </conditionalFormatting>
  <conditionalFormatting sqref="D323">
    <cfRule type="duplicateValues" dxfId="26" priority="14"/>
  </conditionalFormatting>
  <conditionalFormatting sqref="D335">
    <cfRule type="duplicateValues" dxfId="25" priority="13"/>
  </conditionalFormatting>
  <conditionalFormatting sqref="D324">
    <cfRule type="duplicateValues" dxfId="24" priority="12"/>
  </conditionalFormatting>
  <conditionalFormatting sqref="D429">
    <cfRule type="duplicateValues" dxfId="23" priority="11"/>
  </conditionalFormatting>
  <conditionalFormatting sqref="D202:D203">
    <cfRule type="duplicateValues" dxfId="22" priority="10"/>
  </conditionalFormatting>
  <conditionalFormatting sqref="D371">
    <cfRule type="duplicateValues" dxfId="21" priority="9"/>
  </conditionalFormatting>
  <conditionalFormatting sqref="D369">
    <cfRule type="duplicateValues" dxfId="20" priority="8"/>
  </conditionalFormatting>
  <conditionalFormatting sqref="D370">
    <cfRule type="duplicateValues" dxfId="19" priority="7"/>
  </conditionalFormatting>
  <conditionalFormatting sqref="AG392 AG214:AG215">
    <cfRule type="duplicateValues" dxfId="18" priority="24"/>
  </conditionalFormatting>
  <conditionalFormatting sqref="AA428:AA429 AA335 AA369:AA371 AA388:AA389 AA403:AA404 AA231:AA234 AA322:AA324 D201 D227 AA227:AA228 AA67 AA200:AA205 AA373:AA378">
    <cfRule type="duplicateValues" dxfId="17" priority="25"/>
  </conditionalFormatting>
  <conditionalFormatting sqref="D379:D387 D236:D300 D226 D18:D66 D363:D368 D206:D222 D325:D334 D229:D230 D405:D416 D336:D361 D372 D390:D399 D302:D321 D68:D138 D184:D186 D140:D158 D176:D181 D161:D168 D418:D425 D188:D199 D427">
    <cfRule type="duplicateValues" dxfId="16" priority="26"/>
  </conditionalFormatting>
  <conditionalFormatting sqref="D400:D404">
    <cfRule type="duplicateValues" dxfId="15" priority="6"/>
  </conditionalFormatting>
  <conditionalFormatting sqref="D183">
    <cfRule type="duplicateValues" dxfId="14" priority="5"/>
  </conditionalFormatting>
  <conditionalFormatting sqref="D139">
    <cfRule type="duplicateValues" dxfId="13" priority="4"/>
  </conditionalFormatting>
  <conditionalFormatting sqref="D232:D234">
    <cfRule type="duplicateValues" dxfId="12" priority="3"/>
  </conditionalFormatting>
  <conditionalFormatting sqref="D223 D225">
    <cfRule type="duplicateValues" dxfId="11" priority="9701"/>
  </conditionalFormatting>
  <conditionalFormatting sqref="D426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4"/>
  <sheetViews>
    <sheetView view="pageBreakPreview" zoomScale="70" zoomScaleNormal="85" zoomScaleSheetLayoutView="7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D4" sqref="D4"/>
    </sheetView>
  </sheetViews>
  <sheetFormatPr defaultRowHeight="15" x14ac:dyDescent="0.25"/>
  <cols>
    <col min="1" max="2" width="9.140625" style="178"/>
    <col min="3" max="3" width="34.5703125" style="178" customWidth="1"/>
    <col min="4" max="4" width="74" style="178" customWidth="1"/>
    <col min="5" max="5" width="23.140625" style="178" customWidth="1"/>
    <col min="6" max="17" width="14.7109375" style="178" hidden="1" customWidth="1"/>
    <col min="18" max="20" width="14.7109375" style="178" customWidth="1"/>
    <col min="21" max="22" width="0" style="178" hidden="1" customWidth="1"/>
    <col min="23" max="16384" width="9.140625" style="178"/>
  </cols>
  <sheetData>
    <row r="1" spans="1:23" ht="15.75" x14ac:dyDescent="0.25">
      <c r="T1" s="154" t="s">
        <v>526</v>
      </c>
    </row>
    <row r="2" spans="1:23" ht="15.75" x14ac:dyDescent="0.25">
      <c r="T2" s="154" t="s">
        <v>588</v>
      </c>
    </row>
    <row r="3" spans="1:23" ht="15.75" x14ac:dyDescent="0.25">
      <c r="T3" s="154" t="s">
        <v>1191</v>
      </c>
    </row>
    <row r="6" spans="1:23" ht="33" customHeight="1" x14ac:dyDescent="0.25">
      <c r="A6" s="216" t="s">
        <v>92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9"/>
      <c r="V6" s="9"/>
      <c r="W6" s="9"/>
    </row>
    <row r="8" spans="1:23" ht="94.5" customHeight="1" x14ac:dyDescent="0.25">
      <c r="A8" s="209" t="s">
        <v>1</v>
      </c>
      <c r="B8" s="209" t="s">
        <v>1</v>
      </c>
      <c r="C8" s="209" t="s">
        <v>2</v>
      </c>
      <c r="D8" s="209" t="s">
        <v>3</v>
      </c>
      <c r="E8" s="209" t="s">
        <v>15</v>
      </c>
      <c r="F8" s="209" t="s">
        <v>613</v>
      </c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</row>
    <row r="9" spans="1:23" x14ac:dyDescent="0.25">
      <c r="A9" s="209"/>
      <c r="B9" s="209"/>
      <c r="C9" s="209"/>
      <c r="D9" s="209"/>
      <c r="E9" s="209"/>
      <c r="F9" s="209" t="s">
        <v>153</v>
      </c>
      <c r="G9" s="209"/>
      <c r="H9" s="209"/>
      <c r="I9" s="209"/>
      <c r="J9" s="209"/>
      <c r="K9" s="209"/>
      <c r="L9" s="209"/>
      <c r="M9" s="209" t="s">
        <v>154</v>
      </c>
      <c r="N9" s="209" t="s">
        <v>24</v>
      </c>
      <c r="O9" s="209" t="s">
        <v>155</v>
      </c>
      <c r="P9" s="209" t="s">
        <v>156</v>
      </c>
      <c r="Q9" s="209" t="s">
        <v>157</v>
      </c>
      <c r="R9" s="209" t="s">
        <v>158</v>
      </c>
      <c r="S9" s="209" t="s">
        <v>159</v>
      </c>
      <c r="T9" s="209" t="s">
        <v>160</v>
      </c>
    </row>
    <row r="10" spans="1:23" ht="155.25" customHeight="1" x14ac:dyDescent="0.25">
      <c r="A10" s="209"/>
      <c r="B10" s="209"/>
      <c r="C10" s="209"/>
      <c r="D10" s="209"/>
      <c r="E10" s="209"/>
      <c r="F10" s="46" t="s">
        <v>33</v>
      </c>
      <c r="G10" s="46" t="s">
        <v>34</v>
      </c>
      <c r="H10" s="46" t="s">
        <v>35</v>
      </c>
      <c r="I10" s="46" t="s">
        <v>36</v>
      </c>
      <c r="J10" s="46" t="s">
        <v>37</v>
      </c>
      <c r="K10" s="46" t="s">
        <v>38</v>
      </c>
      <c r="L10" s="46" t="s">
        <v>23</v>
      </c>
      <c r="M10" s="209"/>
      <c r="N10" s="209"/>
      <c r="O10" s="209"/>
      <c r="P10" s="209"/>
      <c r="Q10" s="209"/>
      <c r="R10" s="209"/>
      <c r="S10" s="209"/>
      <c r="T10" s="209"/>
    </row>
    <row r="11" spans="1:23" x14ac:dyDescent="0.25">
      <c r="A11" s="209"/>
      <c r="B11" s="209"/>
      <c r="C11" s="209"/>
      <c r="D11" s="209"/>
      <c r="E11" s="2" t="s">
        <v>161</v>
      </c>
      <c r="F11" s="2" t="s">
        <v>161</v>
      </c>
      <c r="G11" s="2" t="s">
        <v>161</v>
      </c>
      <c r="H11" s="2" t="s">
        <v>161</v>
      </c>
      <c r="I11" s="2" t="s">
        <v>161</v>
      </c>
      <c r="J11" s="2" t="s">
        <v>161</v>
      </c>
      <c r="K11" s="2" t="s">
        <v>161</v>
      </c>
      <c r="L11" s="2" t="s">
        <v>161</v>
      </c>
      <c r="M11" s="2" t="s">
        <v>161</v>
      </c>
      <c r="N11" s="2" t="s">
        <v>161</v>
      </c>
      <c r="O11" s="2" t="s">
        <v>161</v>
      </c>
      <c r="P11" s="2" t="s">
        <v>161</v>
      </c>
      <c r="Q11" s="2" t="s">
        <v>161</v>
      </c>
      <c r="R11" s="2" t="s">
        <v>161</v>
      </c>
      <c r="S11" s="2" t="s">
        <v>161</v>
      </c>
      <c r="T11" s="2" t="s">
        <v>161</v>
      </c>
    </row>
    <row r="12" spans="1:23" x14ac:dyDescent="0.25">
      <c r="A12" s="46"/>
      <c r="B12" s="46"/>
      <c r="C12" s="46"/>
      <c r="D12" s="46" t="s">
        <v>20</v>
      </c>
      <c r="E12" s="7">
        <f>SUM(F12:T12)</f>
        <v>188763888.13980377</v>
      </c>
      <c r="F12" s="7">
        <f t="shared" ref="F12:Q12" si="0">SUM(F135:F422)</f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 t="shared" si="0"/>
        <v>0</v>
      </c>
      <c r="R12" s="7">
        <f>SUM(R13:R424)</f>
        <v>180586090.13980377</v>
      </c>
      <c r="S12" s="7">
        <f>SUM(S13:S424)</f>
        <v>8177798</v>
      </c>
      <c r="T12" s="7">
        <f>SUM(T135:T422)</f>
        <v>0</v>
      </c>
    </row>
    <row r="13" spans="1:23" x14ac:dyDescent="0.25">
      <c r="A13" s="14">
        <v>1</v>
      </c>
      <c r="B13" s="14">
        <v>1</v>
      </c>
      <c r="C13" s="179" t="s">
        <v>82</v>
      </c>
      <c r="D13" s="15" t="s">
        <v>287</v>
      </c>
      <c r="E13" s="16">
        <f t="shared" ref="E13:E108" si="1">SUM(F13:T13)</f>
        <v>1765327.31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1745327.31</v>
      </c>
      <c r="S13" s="16">
        <v>20000</v>
      </c>
      <c r="T13" s="16"/>
      <c r="U13" s="153">
        <v>1</v>
      </c>
      <c r="V13" s="180">
        <f>+E13-R13-S13</f>
        <v>0</v>
      </c>
    </row>
    <row r="14" spans="1:23" x14ac:dyDescent="0.25">
      <c r="A14" s="10">
        <f>+A13+1</f>
        <v>2</v>
      </c>
      <c r="B14" s="10">
        <f>+B13+1</f>
        <v>2</v>
      </c>
      <c r="C14" s="158" t="s">
        <v>82</v>
      </c>
      <c r="D14" s="11" t="s">
        <v>288</v>
      </c>
      <c r="E14" s="12">
        <f t="shared" si="1"/>
        <v>628645.94999999995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v>612645.94999999995</v>
      </c>
      <c r="S14" s="12">
        <v>16000</v>
      </c>
      <c r="T14" s="12"/>
      <c r="U14" s="153">
        <v>1</v>
      </c>
      <c r="V14" s="180">
        <f t="shared" ref="V14:V118" si="2">+E14-R14-S14</f>
        <v>0</v>
      </c>
    </row>
    <row r="15" spans="1:23" x14ac:dyDescent="0.25">
      <c r="A15" s="10">
        <f t="shared" ref="A15:A78" si="3">+A14+1</f>
        <v>3</v>
      </c>
      <c r="B15" s="10">
        <f t="shared" ref="B15:B78" si="4">+B14+1</f>
        <v>3</v>
      </c>
      <c r="C15" s="158" t="s">
        <v>82</v>
      </c>
      <c r="D15" s="11" t="s">
        <v>289</v>
      </c>
      <c r="E15" s="12">
        <f t="shared" si="1"/>
        <v>1379242.0499999998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v>1361242.0499999998</v>
      </c>
      <c r="S15" s="12">
        <v>18000</v>
      </c>
      <c r="T15" s="12"/>
      <c r="U15" s="153">
        <v>1</v>
      </c>
      <c r="V15" s="180">
        <f t="shared" si="2"/>
        <v>0</v>
      </c>
    </row>
    <row r="16" spans="1:23" x14ac:dyDescent="0.25">
      <c r="A16" s="10">
        <f t="shared" si="3"/>
        <v>4</v>
      </c>
      <c r="B16" s="10">
        <f t="shared" si="4"/>
        <v>4</v>
      </c>
      <c r="C16" s="158" t="s">
        <v>82</v>
      </c>
      <c r="D16" s="11" t="s">
        <v>290</v>
      </c>
      <c r="E16" s="12">
        <f t="shared" si="1"/>
        <v>560136.63000000012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v>550136.63000000012</v>
      </c>
      <c r="S16" s="12">
        <v>10000</v>
      </c>
      <c r="T16" s="12"/>
      <c r="U16" s="153">
        <v>1</v>
      </c>
      <c r="V16" s="180">
        <f t="shared" si="2"/>
        <v>0</v>
      </c>
    </row>
    <row r="17" spans="1:22" x14ac:dyDescent="0.25">
      <c r="A17" s="10">
        <f t="shared" si="3"/>
        <v>5</v>
      </c>
      <c r="B17" s="10">
        <f t="shared" si="4"/>
        <v>5</v>
      </c>
      <c r="C17" s="158" t="s">
        <v>82</v>
      </c>
      <c r="D17" s="11" t="s">
        <v>291</v>
      </c>
      <c r="E17" s="12">
        <f t="shared" si="1"/>
        <v>441934.27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433934.27</v>
      </c>
      <c r="S17" s="12">
        <v>8000</v>
      </c>
      <c r="T17" s="12"/>
      <c r="U17" s="153">
        <v>1</v>
      </c>
      <c r="V17" s="180">
        <f t="shared" si="2"/>
        <v>0</v>
      </c>
    </row>
    <row r="18" spans="1:22" x14ac:dyDescent="0.25">
      <c r="A18" s="10">
        <f t="shared" si="3"/>
        <v>6</v>
      </c>
      <c r="B18" s="10">
        <f t="shared" si="4"/>
        <v>6</v>
      </c>
      <c r="C18" s="158" t="s">
        <v>82</v>
      </c>
      <c r="D18" s="11" t="s">
        <v>292</v>
      </c>
      <c r="E18" s="12">
        <f t="shared" si="1"/>
        <v>514059.43000000005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498059.43000000005</v>
      </c>
      <c r="S18" s="12">
        <v>16000</v>
      </c>
      <c r="T18" s="12"/>
      <c r="U18" s="153">
        <v>1</v>
      </c>
      <c r="V18" s="180">
        <f t="shared" si="2"/>
        <v>0</v>
      </c>
    </row>
    <row r="19" spans="1:22" x14ac:dyDescent="0.25">
      <c r="A19" s="10">
        <f t="shared" si="3"/>
        <v>7</v>
      </c>
      <c r="B19" s="10">
        <f t="shared" si="4"/>
        <v>7</v>
      </c>
      <c r="C19" s="158" t="s">
        <v>82</v>
      </c>
      <c r="D19" s="11" t="s">
        <v>425</v>
      </c>
      <c r="E19" s="12">
        <f t="shared" ref="E19:E62" si="5">SUM(F19:T19)</f>
        <v>539082.57716751983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>
        <v>515082.57716751983</v>
      </c>
      <c r="S19" s="12">
        <v>24000</v>
      </c>
      <c r="T19" s="12"/>
      <c r="U19" s="153">
        <v>1</v>
      </c>
      <c r="V19" s="180">
        <f t="shared" si="2"/>
        <v>0</v>
      </c>
    </row>
    <row r="20" spans="1:22" x14ac:dyDescent="0.25">
      <c r="A20" s="10">
        <f t="shared" si="3"/>
        <v>8</v>
      </c>
      <c r="B20" s="10">
        <f t="shared" si="4"/>
        <v>8</v>
      </c>
      <c r="C20" s="158" t="s">
        <v>82</v>
      </c>
      <c r="D20" s="11" t="s">
        <v>426</v>
      </c>
      <c r="E20" s="12">
        <f t="shared" si="5"/>
        <v>413345.9236279992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>
        <v>389345.9236279992</v>
      </c>
      <c r="S20" s="12">
        <v>24000</v>
      </c>
      <c r="T20" s="12"/>
      <c r="U20" s="153">
        <v>1</v>
      </c>
      <c r="V20" s="180">
        <f t="shared" si="2"/>
        <v>0</v>
      </c>
    </row>
    <row r="21" spans="1:22" x14ac:dyDescent="0.25">
      <c r="A21" s="10">
        <f t="shared" si="3"/>
        <v>9</v>
      </c>
      <c r="B21" s="10">
        <f t="shared" si="4"/>
        <v>9</v>
      </c>
      <c r="C21" s="158" t="s">
        <v>82</v>
      </c>
      <c r="D21" s="11" t="s">
        <v>427</v>
      </c>
      <c r="E21" s="12">
        <f t="shared" si="5"/>
        <v>360975.41000000003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352975.41000000003</v>
      </c>
      <c r="S21" s="12">
        <v>8000</v>
      </c>
      <c r="T21" s="12"/>
      <c r="U21" s="153">
        <v>1</v>
      </c>
      <c r="V21" s="180">
        <f t="shared" si="2"/>
        <v>0</v>
      </c>
    </row>
    <row r="22" spans="1:22" x14ac:dyDescent="0.25">
      <c r="A22" s="10">
        <f t="shared" si="3"/>
        <v>10</v>
      </c>
      <c r="B22" s="10">
        <f t="shared" si="4"/>
        <v>10</v>
      </c>
      <c r="C22" s="158" t="s">
        <v>82</v>
      </c>
      <c r="D22" s="11" t="s">
        <v>428</v>
      </c>
      <c r="E22" s="12">
        <f t="shared" si="5"/>
        <v>365115.69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>
        <v>355115.69</v>
      </c>
      <c r="S22" s="12">
        <v>10000</v>
      </c>
      <c r="T22" s="12"/>
      <c r="U22" s="153">
        <v>1</v>
      </c>
      <c r="V22" s="180">
        <f t="shared" si="2"/>
        <v>0</v>
      </c>
    </row>
    <row r="23" spans="1:22" x14ac:dyDescent="0.25">
      <c r="A23" s="10">
        <f t="shared" si="3"/>
        <v>11</v>
      </c>
      <c r="B23" s="10">
        <f t="shared" si="4"/>
        <v>11</v>
      </c>
      <c r="C23" s="158" t="s">
        <v>82</v>
      </c>
      <c r="D23" s="11" t="s">
        <v>429</v>
      </c>
      <c r="E23" s="12">
        <f t="shared" si="5"/>
        <v>1132940.07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>
        <v>1122940.07</v>
      </c>
      <c r="S23" s="12">
        <v>10000</v>
      </c>
      <c r="T23" s="12"/>
      <c r="U23" s="153">
        <v>1</v>
      </c>
      <c r="V23" s="180">
        <f t="shared" si="2"/>
        <v>0</v>
      </c>
    </row>
    <row r="24" spans="1:22" x14ac:dyDescent="0.25">
      <c r="A24" s="10">
        <f t="shared" si="3"/>
        <v>12</v>
      </c>
      <c r="B24" s="10">
        <f t="shared" si="4"/>
        <v>12</v>
      </c>
      <c r="C24" s="158" t="s">
        <v>82</v>
      </c>
      <c r="D24" s="11" t="s">
        <v>430</v>
      </c>
      <c r="E24" s="12">
        <f t="shared" si="5"/>
        <v>1019590.6252053897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995590.62520538969</v>
      </c>
      <c r="S24" s="12">
        <v>24000</v>
      </c>
      <c r="T24" s="12"/>
      <c r="U24" s="153">
        <v>1</v>
      </c>
      <c r="V24" s="180">
        <f t="shared" si="2"/>
        <v>0</v>
      </c>
    </row>
    <row r="25" spans="1:22" x14ac:dyDescent="0.25">
      <c r="A25" s="10">
        <f t="shared" si="3"/>
        <v>13</v>
      </c>
      <c r="B25" s="10">
        <f t="shared" si="4"/>
        <v>13</v>
      </c>
      <c r="C25" s="158" t="s">
        <v>82</v>
      </c>
      <c r="D25" s="11" t="s">
        <v>431</v>
      </c>
      <c r="E25" s="12">
        <f t="shared" si="5"/>
        <v>584127.39066321694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560127.39066321694</v>
      </c>
      <c r="S25" s="12">
        <v>24000</v>
      </c>
      <c r="T25" s="12"/>
      <c r="U25" s="153">
        <v>1</v>
      </c>
      <c r="V25" s="180">
        <f t="shared" si="2"/>
        <v>0</v>
      </c>
    </row>
    <row r="26" spans="1:22" x14ac:dyDescent="0.25">
      <c r="A26" s="10">
        <f t="shared" si="3"/>
        <v>14</v>
      </c>
      <c r="B26" s="10">
        <f t="shared" si="4"/>
        <v>14</v>
      </c>
      <c r="C26" s="158" t="s">
        <v>82</v>
      </c>
      <c r="D26" s="11" t="s">
        <v>432</v>
      </c>
      <c r="E26" s="12">
        <f t="shared" si="5"/>
        <v>194947.9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>
        <v>186947.9</v>
      </c>
      <c r="S26" s="12">
        <v>8000</v>
      </c>
      <c r="T26" s="12"/>
      <c r="U26" s="153">
        <v>1</v>
      </c>
      <c r="V26" s="180">
        <f t="shared" si="2"/>
        <v>0</v>
      </c>
    </row>
    <row r="27" spans="1:22" x14ac:dyDescent="0.25">
      <c r="A27" s="10">
        <f t="shared" si="3"/>
        <v>15</v>
      </c>
      <c r="B27" s="10">
        <f t="shared" si="4"/>
        <v>15</v>
      </c>
      <c r="C27" s="158" t="s">
        <v>82</v>
      </c>
      <c r="D27" s="11" t="s">
        <v>433</v>
      </c>
      <c r="E27" s="12">
        <f t="shared" si="5"/>
        <v>544797.25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>
        <v>520797.25</v>
      </c>
      <c r="S27" s="12">
        <v>24000</v>
      </c>
      <c r="T27" s="12"/>
      <c r="U27" s="153">
        <v>1</v>
      </c>
      <c r="V27" s="180">
        <f t="shared" si="2"/>
        <v>0</v>
      </c>
    </row>
    <row r="28" spans="1:22" x14ac:dyDescent="0.25">
      <c r="A28" s="10">
        <f t="shared" si="3"/>
        <v>16</v>
      </c>
      <c r="B28" s="10">
        <f t="shared" si="4"/>
        <v>16</v>
      </c>
      <c r="C28" s="158" t="s">
        <v>82</v>
      </c>
      <c r="D28" s="11" t="s">
        <v>299</v>
      </c>
      <c r="E28" s="12">
        <f t="shared" si="5"/>
        <v>750904.93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v>718904.93</v>
      </c>
      <c r="S28" s="12">
        <v>32000</v>
      </c>
      <c r="T28" s="12"/>
      <c r="U28" s="153">
        <v>1</v>
      </c>
      <c r="V28" s="180">
        <f t="shared" si="2"/>
        <v>0</v>
      </c>
    </row>
    <row r="29" spans="1:22" x14ac:dyDescent="0.25">
      <c r="A29" s="10">
        <f t="shared" si="3"/>
        <v>17</v>
      </c>
      <c r="B29" s="10">
        <f t="shared" si="4"/>
        <v>17</v>
      </c>
      <c r="C29" s="158" t="s">
        <v>82</v>
      </c>
      <c r="D29" s="11" t="s">
        <v>434</v>
      </c>
      <c r="E29" s="12">
        <f t="shared" si="5"/>
        <v>334516.96000000002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v>310516.96000000002</v>
      </c>
      <c r="S29" s="12">
        <v>24000</v>
      </c>
      <c r="T29" s="12"/>
      <c r="U29" s="153">
        <v>1</v>
      </c>
      <c r="V29" s="180">
        <f t="shared" si="2"/>
        <v>0</v>
      </c>
    </row>
    <row r="30" spans="1:22" x14ac:dyDescent="0.25">
      <c r="A30" s="10">
        <f t="shared" si="3"/>
        <v>18</v>
      </c>
      <c r="B30" s="10">
        <f t="shared" si="4"/>
        <v>18</v>
      </c>
      <c r="C30" s="158" t="s">
        <v>82</v>
      </c>
      <c r="D30" s="11" t="s">
        <v>435</v>
      </c>
      <c r="E30" s="12">
        <f t="shared" si="5"/>
        <v>325945.57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v>301945.57</v>
      </c>
      <c r="S30" s="12">
        <v>24000</v>
      </c>
      <c r="T30" s="12"/>
      <c r="U30" s="153">
        <v>1</v>
      </c>
      <c r="V30" s="180">
        <f t="shared" si="2"/>
        <v>0</v>
      </c>
    </row>
    <row r="31" spans="1:22" x14ac:dyDescent="0.25">
      <c r="A31" s="10">
        <f t="shared" si="3"/>
        <v>19</v>
      </c>
      <c r="B31" s="10">
        <f t="shared" si="4"/>
        <v>19</v>
      </c>
      <c r="C31" s="158" t="s">
        <v>82</v>
      </c>
      <c r="D31" s="11" t="s">
        <v>305</v>
      </c>
      <c r="E31" s="12">
        <f t="shared" si="5"/>
        <v>608400.32000000007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v>560400.32000000007</v>
      </c>
      <c r="S31" s="12">
        <v>48000</v>
      </c>
      <c r="T31" s="12"/>
      <c r="U31" s="153">
        <v>1</v>
      </c>
      <c r="V31" s="180">
        <f t="shared" si="2"/>
        <v>0</v>
      </c>
    </row>
    <row r="32" spans="1:22" x14ac:dyDescent="0.25">
      <c r="A32" s="10">
        <f t="shared" si="3"/>
        <v>20</v>
      </c>
      <c r="B32" s="10">
        <f t="shared" si="4"/>
        <v>20</v>
      </c>
      <c r="C32" s="158" t="s">
        <v>82</v>
      </c>
      <c r="D32" s="11" t="s">
        <v>307</v>
      </c>
      <c r="E32" s="12">
        <f t="shared" si="5"/>
        <v>322133.13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v>314133.13</v>
      </c>
      <c r="S32" s="12">
        <v>8000</v>
      </c>
      <c r="T32" s="12"/>
      <c r="U32" s="153">
        <v>1</v>
      </c>
      <c r="V32" s="180">
        <f t="shared" si="2"/>
        <v>0</v>
      </c>
    </row>
    <row r="33" spans="1:22" x14ac:dyDescent="0.25">
      <c r="A33" s="10">
        <f t="shared" si="3"/>
        <v>21</v>
      </c>
      <c r="B33" s="10">
        <f t="shared" si="4"/>
        <v>21</v>
      </c>
      <c r="C33" s="158" t="s">
        <v>82</v>
      </c>
      <c r="D33" s="11" t="s">
        <v>436</v>
      </c>
      <c r="E33" s="12">
        <f t="shared" si="5"/>
        <v>496837.23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v>472837.23</v>
      </c>
      <c r="S33" s="12">
        <v>24000</v>
      </c>
      <c r="T33" s="12"/>
      <c r="U33" s="153">
        <v>1</v>
      </c>
      <c r="V33" s="180">
        <f t="shared" si="2"/>
        <v>0</v>
      </c>
    </row>
    <row r="34" spans="1:22" x14ac:dyDescent="0.25">
      <c r="A34" s="10">
        <f t="shared" si="3"/>
        <v>22</v>
      </c>
      <c r="B34" s="10">
        <f t="shared" si="4"/>
        <v>22</v>
      </c>
      <c r="C34" s="158" t="s">
        <v>82</v>
      </c>
      <c r="D34" s="11" t="s">
        <v>308</v>
      </c>
      <c r="E34" s="12">
        <f t="shared" si="5"/>
        <v>552243.46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v>528243.46</v>
      </c>
      <c r="S34" s="12">
        <v>24000</v>
      </c>
      <c r="T34" s="12"/>
      <c r="U34" s="153">
        <v>1</v>
      </c>
      <c r="V34" s="180">
        <f t="shared" si="2"/>
        <v>0</v>
      </c>
    </row>
    <row r="35" spans="1:22" x14ac:dyDescent="0.25">
      <c r="A35" s="10">
        <f t="shared" si="3"/>
        <v>23</v>
      </c>
      <c r="B35" s="10">
        <f t="shared" si="4"/>
        <v>23</v>
      </c>
      <c r="C35" s="158" t="s">
        <v>82</v>
      </c>
      <c r="D35" s="11" t="s">
        <v>437</v>
      </c>
      <c r="E35" s="12">
        <f t="shared" si="5"/>
        <v>834540.31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v>810540.31</v>
      </c>
      <c r="S35" s="12">
        <v>24000</v>
      </c>
      <c r="T35" s="12"/>
      <c r="U35" s="153">
        <v>1</v>
      </c>
      <c r="V35" s="180">
        <f t="shared" si="2"/>
        <v>0</v>
      </c>
    </row>
    <row r="36" spans="1:22" x14ac:dyDescent="0.25">
      <c r="A36" s="10">
        <f t="shared" si="3"/>
        <v>24</v>
      </c>
      <c r="B36" s="10">
        <f t="shared" si="4"/>
        <v>24</v>
      </c>
      <c r="C36" s="158" t="s">
        <v>82</v>
      </c>
      <c r="D36" s="11" t="s">
        <v>438</v>
      </c>
      <c r="E36" s="12">
        <f t="shared" si="5"/>
        <v>678517.30999999994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v>654517.30999999994</v>
      </c>
      <c r="S36" s="12">
        <v>24000</v>
      </c>
      <c r="T36" s="12"/>
      <c r="U36" s="153">
        <v>1</v>
      </c>
      <c r="V36" s="180">
        <f t="shared" si="2"/>
        <v>0</v>
      </c>
    </row>
    <row r="37" spans="1:22" x14ac:dyDescent="0.25">
      <c r="A37" s="10">
        <f t="shared" si="3"/>
        <v>25</v>
      </c>
      <c r="B37" s="10">
        <f t="shared" si="4"/>
        <v>25</v>
      </c>
      <c r="C37" s="158" t="s">
        <v>82</v>
      </c>
      <c r="D37" s="11" t="s">
        <v>439</v>
      </c>
      <c r="E37" s="12">
        <f t="shared" si="5"/>
        <v>626355.59000000008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v>602355.59000000008</v>
      </c>
      <c r="S37" s="12">
        <v>24000</v>
      </c>
      <c r="T37" s="12"/>
      <c r="U37" s="153">
        <v>1</v>
      </c>
      <c r="V37" s="180">
        <f t="shared" si="2"/>
        <v>0</v>
      </c>
    </row>
    <row r="38" spans="1:22" x14ac:dyDescent="0.25">
      <c r="A38" s="10">
        <f t="shared" si="3"/>
        <v>26</v>
      </c>
      <c r="B38" s="10">
        <f t="shared" si="4"/>
        <v>26</v>
      </c>
      <c r="C38" s="158" t="s">
        <v>82</v>
      </c>
      <c r="D38" s="11" t="s">
        <v>440</v>
      </c>
      <c r="E38" s="12">
        <f t="shared" si="5"/>
        <v>612556.79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v>588556.79</v>
      </c>
      <c r="S38" s="12">
        <v>24000</v>
      </c>
      <c r="T38" s="12"/>
      <c r="U38" s="153">
        <v>1</v>
      </c>
      <c r="V38" s="180">
        <f t="shared" si="2"/>
        <v>0</v>
      </c>
    </row>
    <row r="39" spans="1:22" x14ac:dyDescent="0.25">
      <c r="A39" s="10">
        <f t="shared" si="3"/>
        <v>27</v>
      </c>
      <c r="B39" s="10">
        <f t="shared" si="4"/>
        <v>27</v>
      </c>
      <c r="C39" s="158" t="s">
        <v>82</v>
      </c>
      <c r="D39" s="11" t="s">
        <v>441</v>
      </c>
      <c r="E39" s="12">
        <f t="shared" si="5"/>
        <v>613418.62000000011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v>589418.62000000011</v>
      </c>
      <c r="S39" s="12">
        <v>24000</v>
      </c>
      <c r="T39" s="12"/>
      <c r="U39" s="153">
        <v>1</v>
      </c>
      <c r="V39" s="180">
        <f t="shared" si="2"/>
        <v>0</v>
      </c>
    </row>
    <row r="40" spans="1:22" x14ac:dyDescent="0.25">
      <c r="A40" s="10">
        <f t="shared" si="3"/>
        <v>28</v>
      </c>
      <c r="B40" s="10">
        <f t="shared" si="4"/>
        <v>28</v>
      </c>
      <c r="C40" s="158" t="s">
        <v>82</v>
      </c>
      <c r="D40" s="11" t="s">
        <v>442</v>
      </c>
      <c r="E40" s="12">
        <f t="shared" si="5"/>
        <v>254259.8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>
        <v>230259.8</v>
      </c>
      <c r="S40" s="12">
        <v>24000</v>
      </c>
      <c r="T40" s="12"/>
      <c r="U40" s="153">
        <v>1</v>
      </c>
      <c r="V40" s="180">
        <f t="shared" si="2"/>
        <v>0</v>
      </c>
    </row>
    <row r="41" spans="1:22" x14ac:dyDescent="0.25">
      <c r="A41" s="10">
        <f t="shared" si="3"/>
        <v>29</v>
      </c>
      <c r="B41" s="10">
        <f t="shared" si="4"/>
        <v>29</v>
      </c>
      <c r="C41" s="158" t="s">
        <v>82</v>
      </c>
      <c r="D41" s="11" t="s">
        <v>443</v>
      </c>
      <c r="E41" s="12">
        <f t="shared" si="5"/>
        <v>228321.53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>
        <v>204321.53</v>
      </c>
      <c r="S41" s="12">
        <v>24000</v>
      </c>
      <c r="T41" s="12"/>
      <c r="U41" s="153">
        <v>1</v>
      </c>
      <c r="V41" s="180">
        <f t="shared" si="2"/>
        <v>0</v>
      </c>
    </row>
    <row r="42" spans="1:22" x14ac:dyDescent="0.25">
      <c r="A42" s="10">
        <f t="shared" si="3"/>
        <v>30</v>
      </c>
      <c r="B42" s="10">
        <f t="shared" si="4"/>
        <v>30</v>
      </c>
      <c r="C42" s="158" t="s">
        <v>82</v>
      </c>
      <c r="D42" s="11" t="s">
        <v>444</v>
      </c>
      <c r="E42" s="12">
        <f t="shared" si="5"/>
        <v>322420.25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>
        <v>314420.25</v>
      </c>
      <c r="S42" s="12">
        <v>8000</v>
      </c>
      <c r="T42" s="12"/>
      <c r="U42" s="153">
        <v>1</v>
      </c>
      <c r="V42" s="180">
        <f t="shared" si="2"/>
        <v>0</v>
      </c>
    </row>
    <row r="43" spans="1:22" x14ac:dyDescent="0.25">
      <c r="A43" s="10">
        <f t="shared" si="3"/>
        <v>31</v>
      </c>
      <c r="B43" s="10">
        <f t="shared" si="4"/>
        <v>31</v>
      </c>
      <c r="C43" s="158" t="s">
        <v>82</v>
      </c>
      <c r="D43" s="11" t="s">
        <v>445</v>
      </c>
      <c r="E43" s="12">
        <f t="shared" si="5"/>
        <v>269093.41000000003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>
        <v>245093.41000000003</v>
      </c>
      <c r="S43" s="12">
        <v>24000</v>
      </c>
      <c r="T43" s="12"/>
      <c r="U43" s="153">
        <v>1</v>
      </c>
      <c r="V43" s="180">
        <f t="shared" si="2"/>
        <v>0</v>
      </c>
    </row>
    <row r="44" spans="1:22" x14ac:dyDescent="0.25">
      <c r="A44" s="10">
        <f t="shared" si="3"/>
        <v>32</v>
      </c>
      <c r="B44" s="10">
        <f t="shared" si="4"/>
        <v>32</v>
      </c>
      <c r="C44" s="158" t="s">
        <v>82</v>
      </c>
      <c r="D44" s="11" t="s">
        <v>446</v>
      </c>
      <c r="E44" s="12">
        <f t="shared" si="5"/>
        <v>268599.84999999998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v>244599.84999999998</v>
      </c>
      <c r="S44" s="12">
        <v>24000</v>
      </c>
      <c r="T44" s="12"/>
      <c r="U44" s="153">
        <v>1</v>
      </c>
      <c r="V44" s="180">
        <f t="shared" si="2"/>
        <v>0</v>
      </c>
    </row>
    <row r="45" spans="1:22" x14ac:dyDescent="0.25">
      <c r="A45" s="10">
        <f t="shared" si="3"/>
        <v>33</v>
      </c>
      <c r="B45" s="10">
        <f t="shared" si="4"/>
        <v>33</v>
      </c>
      <c r="C45" s="158" t="s">
        <v>82</v>
      </c>
      <c r="D45" s="11" t="s">
        <v>311</v>
      </c>
      <c r="E45" s="12">
        <f t="shared" si="5"/>
        <v>863995.04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v>829995.04</v>
      </c>
      <c r="S45" s="12">
        <v>34000</v>
      </c>
      <c r="T45" s="12"/>
      <c r="U45" s="153">
        <v>1</v>
      </c>
      <c r="V45" s="180">
        <f t="shared" si="2"/>
        <v>0</v>
      </c>
    </row>
    <row r="46" spans="1:22" x14ac:dyDescent="0.25">
      <c r="A46" s="10">
        <f t="shared" si="3"/>
        <v>34</v>
      </c>
      <c r="B46" s="10">
        <f t="shared" si="4"/>
        <v>34</v>
      </c>
      <c r="C46" s="158" t="s">
        <v>82</v>
      </c>
      <c r="D46" s="11" t="s">
        <v>447</v>
      </c>
      <c r="E46" s="12">
        <f t="shared" si="5"/>
        <v>322757.76000000001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v>314757.76000000001</v>
      </c>
      <c r="S46" s="12">
        <v>8000</v>
      </c>
      <c r="T46" s="12"/>
      <c r="U46" s="153">
        <v>1</v>
      </c>
      <c r="V46" s="180">
        <f t="shared" si="2"/>
        <v>0</v>
      </c>
    </row>
    <row r="47" spans="1:22" x14ac:dyDescent="0.25">
      <c r="A47" s="10">
        <f t="shared" si="3"/>
        <v>35</v>
      </c>
      <c r="B47" s="10">
        <f t="shared" si="4"/>
        <v>35</v>
      </c>
      <c r="C47" s="158" t="s">
        <v>82</v>
      </c>
      <c r="D47" s="11" t="s">
        <v>448</v>
      </c>
      <c r="E47" s="12">
        <f t="shared" si="5"/>
        <v>332755.06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v>324755.06</v>
      </c>
      <c r="S47" s="12">
        <v>8000</v>
      </c>
      <c r="T47" s="12"/>
      <c r="U47" s="153">
        <v>1</v>
      </c>
      <c r="V47" s="180">
        <f t="shared" si="2"/>
        <v>0</v>
      </c>
    </row>
    <row r="48" spans="1:22" x14ac:dyDescent="0.25">
      <c r="A48" s="10">
        <f t="shared" si="3"/>
        <v>36</v>
      </c>
      <c r="B48" s="10">
        <f t="shared" si="4"/>
        <v>36</v>
      </c>
      <c r="C48" s="158" t="s">
        <v>82</v>
      </c>
      <c r="D48" s="11" t="s">
        <v>449</v>
      </c>
      <c r="E48" s="12">
        <f t="shared" si="5"/>
        <v>998050.20000000019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v>988050.20000000019</v>
      </c>
      <c r="S48" s="12">
        <v>10000</v>
      </c>
      <c r="T48" s="12"/>
      <c r="U48" s="153">
        <v>1</v>
      </c>
      <c r="V48" s="180">
        <f t="shared" si="2"/>
        <v>0</v>
      </c>
    </row>
    <row r="49" spans="1:22" x14ac:dyDescent="0.25">
      <c r="A49" s="10">
        <f t="shared" si="3"/>
        <v>37</v>
      </c>
      <c r="B49" s="10">
        <f t="shared" si="4"/>
        <v>37</v>
      </c>
      <c r="C49" s="158" t="s">
        <v>82</v>
      </c>
      <c r="D49" s="11" t="s">
        <v>450</v>
      </c>
      <c r="E49" s="12">
        <f t="shared" si="5"/>
        <v>460868.39999999997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v>452868.39999999997</v>
      </c>
      <c r="S49" s="12">
        <v>8000</v>
      </c>
      <c r="T49" s="12"/>
      <c r="U49" s="153">
        <v>1</v>
      </c>
      <c r="V49" s="180">
        <f t="shared" si="2"/>
        <v>0</v>
      </c>
    </row>
    <row r="50" spans="1:22" x14ac:dyDescent="0.25">
      <c r="A50" s="10">
        <f t="shared" si="3"/>
        <v>38</v>
      </c>
      <c r="B50" s="10">
        <f t="shared" si="4"/>
        <v>38</v>
      </c>
      <c r="C50" s="158" t="s">
        <v>82</v>
      </c>
      <c r="D50" s="11" t="s">
        <v>451</v>
      </c>
      <c r="E50" s="12">
        <f t="shared" si="5"/>
        <v>796517.34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v>786517.34</v>
      </c>
      <c r="S50" s="12">
        <v>10000</v>
      </c>
      <c r="T50" s="12"/>
      <c r="U50" s="153">
        <v>1</v>
      </c>
      <c r="V50" s="180">
        <f t="shared" si="2"/>
        <v>0</v>
      </c>
    </row>
    <row r="51" spans="1:22" x14ac:dyDescent="0.25">
      <c r="A51" s="10">
        <f t="shared" si="3"/>
        <v>39</v>
      </c>
      <c r="B51" s="10">
        <f t="shared" si="4"/>
        <v>39</v>
      </c>
      <c r="C51" s="158" t="s">
        <v>82</v>
      </c>
      <c r="D51" s="11" t="s">
        <v>452</v>
      </c>
      <c r="E51" s="12">
        <f t="shared" si="5"/>
        <v>382753.72860983951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v>358753.72860983951</v>
      </c>
      <c r="S51" s="12">
        <v>24000</v>
      </c>
      <c r="T51" s="12"/>
      <c r="U51" s="153">
        <v>1</v>
      </c>
      <c r="V51" s="180">
        <f t="shared" si="2"/>
        <v>0</v>
      </c>
    </row>
    <row r="52" spans="1:22" x14ac:dyDescent="0.25">
      <c r="A52" s="10">
        <f t="shared" si="3"/>
        <v>40</v>
      </c>
      <c r="B52" s="10">
        <f t="shared" si="4"/>
        <v>40</v>
      </c>
      <c r="C52" s="158" t="s">
        <v>82</v>
      </c>
      <c r="D52" s="11" t="s">
        <v>323</v>
      </c>
      <c r="E52" s="12">
        <f t="shared" si="5"/>
        <v>1418184.5214474853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v>1384184.5214474853</v>
      </c>
      <c r="S52" s="12">
        <v>34000</v>
      </c>
      <c r="T52" s="12"/>
      <c r="U52" s="153">
        <v>1</v>
      </c>
      <c r="V52" s="180">
        <f t="shared" si="2"/>
        <v>0</v>
      </c>
    </row>
    <row r="53" spans="1:22" x14ac:dyDescent="0.25">
      <c r="A53" s="10">
        <f t="shared" si="3"/>
        <v>41</v>
      </c>
      <c r="B53" s="10">
        <f t="shared" si="4"/>
        <v>41</v>
      </c>
      <c r="C53" s="158" t="s">
        <v>82</v>
      </c>
      <c r="D53" s="11" t="s">
        <v>453</v>
      </c>
      <c r="E53" s="12">
        <f t="shared" si="5"/>
        <v>706531.21580926236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v>682531.21580926236</v>
      </c>
      <c r="S53" s="12">
        <v>24000</v>
      </c>
      <c r="T53" s="12"/>
      <c r="U53" s="153">
        <v>1</v>
      </c>
      <c r="V53" s="180">
        <f t="shared" si="2"/>
        <v>0</v>
      </c>
    </row>
    <row r="54" spans="1:22" x14ac:dyDescent="0.25">
      <c r="A54" s="10">
        <f t="shared" si="3"/>
        <v>42</v>
      </c>
      <c r="B54" s="10">
        <f t="shared" si="4"/>
        <v>42</v>
      </c>
      <c r="C54" s="158" t="s">
        <v>82</v>
      </c>
      <c r="D54" s="11" t="s">
        <v>454</v>
      </c>
      <c r="E54" s="12">
        <f t="shared" si="5"/>
        <v>469117.85018307797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v>445117.85018307797</v>
      </c>
      <c r="S54" s="12">
        <v>24000</v>
      </c>
      <c r="T54" s="12"/>
      <c r="U54" s="153">
        <v>1</v>
      </c>
      <c r="V54" s="180">
        <f t="shared" si="2"/>
        <v>0</v>
      </c>
    </row>
    <row r="55" spans="1:22" x14ac:dyDescent="0.25">
      <c r="A55" s="10">
        <f t="shared" si="3"/>
        <v>43</v>
      </c>
      <c r="B55" s="10">
        <f t="shared" si="4"/>
        <v>43</v>
      </c>
      <c r="C55" s="158" t="s">
        <v>82</v>
      </c>
      <c r="D55" s="11" t="s">
        <v>326</v>
      </c>
      <c r="E55" s="12">
        <f t="shared" si="5"/>
        <v>1383529.4714977562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v>1335529.4714977562</v>
      </c>
      <c r="S55" s="12">
        <v>48000</v>
      </c>
      <c r="T55" s="12"/>
      <c r="U55" s="153">
        <v>1</v>
      </c>
      <c r="V55" s="180">
        <f t="shared" si="2"/>
        <v>0</v>
      </c>
    </row>
    <row r="56" spans="1:22" x14ac:dyDescent="0.25">
      <c r="A56" s="10">
        <f t="shared" si="3"/>
        <v>44</v>
      </c>
      <c r="B56" s="10">
        <f t="shared" si="4"/>
        <v>44</v>
      </c>
      <c r="C56" s="158" t="s">
        <v>82</v>
      </c>
      <c r="D56" s="11" t="s">
        <v>455</v>
      </c>
      <c r="E56" s="12">
        <f t="shared" si="5"/>
        <v>450951.80070266448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v>426951.80070266448</v>
      </c>
      <c r="S56" s="12">
        <v>24000</v>
      </c>
      <c r="T56" s="12"/>
      <c r="U56" s="153">
        <v>1</v>
      </c>
      <c r="V56" s="180">
        <f t="shared" si="2"/>
        <v>0</v>
      </c>
    </row>
    <row r="57" spans="1:22" x14ac:dyDescent="0.25">
      <c r="A57" s="10">
        <f t="shared" si="3"/>
        <v>45</v>
      </c>
      <c r="B57" s="10">
        <f t="shared" si="4"/>
        <v>45</v>
      </c>
      <c r="C57" s="158" t="s">
        <v>82</v>
      </c>
      <c r="D57" s="11" t="s">
        <v>331</v>
      </c>
      <c r="E57" s="12">
        <f t="shared" si="5"/>
        <v>427851.16874364635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v>393851.16874364635</v>
      </c>
      <c r="S57" s="12">
        <v>34000</v>
      </c>
      <c r="T57" s="12"/>
      <c r="U57" s="153">
        <v>1</v>
      </c>
      <c r="V57" s="180">
        <f t="shared" si="2"/>
        <v>0</v>
      </c>
    </row>
    <row r="58" spans="1:22" x14ac:dyDescent="0.25">
      <c r="A58" s="10">
        <f t="shared" si="3"/>
        <v>46</v>
      </c>
      <c r="B58" s="10">
        <f t="shared" si="4"/>
        <v>46</v>
      </c>
      <c r="C58" s="158" t="s">
        <v>82</v>
      </c>
      <c r="D58" s="11" t="s">
        <v>334</v>
      </c>
      <c r="E58" s="12">
        <f t="shared" si="5"/>
        <v>1329258.7059235161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v>1295258.7059235161</v>
      </c>
      <c r="S58" s="12">
        <v>34000</v>
      </c>
      <c r="T58" s="12"/>
      <c r="U58" s="153">
        <v>1</v>
      </c>
      <c r="V58" s="180">
        <f t="shared" si="2"/>
        <v>0</v>
      </c>
    </row>
    <row r="59" spans="1:22" x14ac:dyDescent="0.25">
      <c r="A59" s="10">
        <f t="shared" si="3"/>
        <v>47</v>
      </c>
      <c r="B59" s="10">
        <f t="shared" si="4"/>
        <v>47</v>
      </c>
      <c r="C59" s="158" t="s">
        <v>82</v>
      </c>
      <c r="D59" s="11" t="s">
        <v>335</v>
      </c>
      <c r="E59" s="12">
        <f t="shared" si="5"/>
        <v>1434629.2921652414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v>1400629.2921652414</v>
      </c>
      <c r="S59" s="12">
        <v>34000</v>
      </c>
      <c r="T59" s="12"/>
      <c r="U59" s="153">
        <v>1</v>
      </c>
      <c r="V59" s="180">
        <f t="shared" si="2"/>
        <v>0</v>
      </c>
    </row>
    <row r="60" spans="1:22" x14ac:dyDescent="0.25">
      <c r="A60" s="10">
        <f t="shared" si="3"/>
        <v>48</v>
      </c>
      <c r="B60" s="10">
        <f t="shared" si="4"/>
        <v>48</v>
      </c>
      <c r="C60" s="158" t="s">
        <v>82</v>
      </c>
      <c r="D60" s="11" t="s">
        <v>456</v>
      </c>
      <c r="E60" s="12">
        <f t="shared" si="5"/>
        <v>451412.75421461329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v>427412.75421461329</v>
      </c>
      <c r="S60" s="12">
        <v>24000</v>
      </c>
      <c r="T60" s="12"/>
      <c r="U60" s="153">
        <v>1</v>
      </c>
      <c r="V60" s="180">
        <f t="shared" si="2"/>
        <v>0</v>
      </c>
    </row>
    <row r="61" spans="1:22" x14ac:dyDescent="0.25">
      <c r="A61" s="10">
        <f t="shared" si="3"/>
        <v>49</v>
      </c>
      <c r="B61" s="10">
        <f t="shared" si="4"/>
        <v>49</v>
      </c>
      <c r="C61" s="158" t="s">
        <v>82</v>
      </c>
      <c r="D61" s="11" t="s">
        <v>457</v>
      </c>
      <c r="E61" s="12">
        <f t="shared" si="5"/>
        <v>267582.33999999997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v>243582.33999999997</v>
      </c>
      <c r="S61" s="12">
        <v>24000</v>
      </c>
      <c r="T61" s="12"/>
      <c r="U61" s="153">
        <v>1</v>
      </c>
      <c r="V61" s="180">
        <f t="shared" si="2"/>
        <v>0</v>
      </c>
    </row>
    <row r="62" spans="1:22" x14ac:dyDescent="0.25">
      <c r="A62" s="10">
        <f t="shared" si="3"/>
        <v>50</v>
      </c>
      <c r="B62" s="10">
        <f t="shared" si="4"/>
        <v>50</v>
      </c>
      <c r="C62" s="158" t="s">
        <v>82</v>
      </c>
      <c r="D62" s="158" t="s">
        <v>530</v>
      </c>
      <c r="E62" s="12">
        <f t="shared" si="5"/>
        <v>477598.53011454962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v>453598.53011454962</v>
      </c>
      <c r="S62" s="12">
        <v>24000</v>
      </c>
      <c r="T62" s="12"/>
    </row>
    <row r="63" spans="1:22" x14ac:dyDescent="0.25">
      <c r="A63" s="10">
        <f t="shared" si="3"/>
        <v>51</v>
      </c>
      <c r="B63" s="10">
        <f t="shared" si="4"/>
        <v>51</v>
      </c>
      <c r="C63" s="158" t="s">
        <v>82</v>
      </c>
      <c r="D63" s="11" t="s">
        <v>293</v>
      </c>
      <c r="E63" s="12">
        <f t="shared" si="1"/>
        <v>1292424.21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v>1282424.21</v>
      </c>
      <c r="S63" s="12">
        <v>10000</v>
      </c>
      <c r="T63" s="12"/>
      <c r="U63" s="153">
        <v>1</v>
      </c>
      <c r="V63" s="180">
        <f t="shared" si="2"/>
        <v>0</v>
      </c>
    </row>
    <row r="64" spans="1:22" x14ac:dyDescent="0.25">
      <c r="A64" s="10">
        <f t="shared" si="3"/>
        <v>52</v>
      </c>
      <c r="B64" s="10">
        <f t="shared" si="4"/>
        <v>52</v>
      </c>
      <c r="C64" s="158" t="s">
        <v>82</v>
      </c>
      <c r="D64" s="11" t="s">
        <v>294</v>
      </c>
      <c r="E64" s="12">
        <f t="shared" si="1"/>
        <v>1060645.6500000001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v>1036645.6500000001</v>
      </c>
      <c r="S64" s="12">
        <v>24000</v>
      </c>
      <c r="T64" s="12"/>
      <c r="U64" s="153">
        <v>1</v>
      </c>
      <c r="V64" s="180">
        <f t="shared" si="2"/>
        <v>0</v>
      </c>
    </row>
    <row r="65" spans="1:22" x14ac:dyDescent="0.25">
      <c r="A65" s="10">
        <f t="shared" si="3"/>
        <v>53</v>
      </c>
      <c r="B65" s="10">
        <f t="shared" si="4"/>
        <v>53</v>
      </c>
      <c r="C65" s="158" t="s">
        <v>82</v>
      </c>
      <c r="D65" s="11" t="s">
        <v>295</v>
      </c>
      <c r="E65" s="12">
        <f t="shared" si="1"/>
        <v>747051.57000000007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v>723051.57000000007</v>
      </c>
      <c r="S65" s="12">
        <v>24000</v>
      </c>
      <c r="T65" s="12"/>
      <c r="U65" s="153">
        <v>1</v>
      </c>
      <c r="V65" s="180">
        <f t="shared" si="2"/>
        <v>0</v>
      </c>
    </row>
    <row r="66" spans="1:22" x14ac:dyDescent="0.25">
      <c r="A66" s="10">
        <f t="shared" si="3"/>
        <v>54</v>
      </c>
      <c r="B66" s="10">
        <f t="shared" si="4"/>
        <v>54</v>
      </c>
      <c r="C66" s="158" t="s">
        <v>82</v>
      </c>
      <c r="D66" s="11" t="s">
        <v>296</v>
      </c>
      <c r="E66" s="12">
        <f t="shared" si="1"/>
        <v>309619.23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>
        <v>285619.23</v>
      </c>
      <c r="S66" s="12">
        <v>24000</v>
      </c>
      <c r="T66" s="12"/>
      <c r="U66" s="153">
        <v>1</v>
      </c>
      <c r="V66" s="180">
        <f t="shared" si="2"/>
        <v>0</v>
      </c>
    </row>
    <row r="67" spans="1:22" x14ac:dyDescent="0.25">
      <c r="A67" s="10">
        <f t="shared" si="3"/>
        <v>55</v>
      </c>
      <c r="B67" s="10">
        <f t="shared" si="4"/>
        <v>55</v>
      </c>
      <c r="C67" s="158" t="s">
        <v>82</v>
      </c>
      <c r="D67" s="11" t="s">
        <v>297</v>
      </c>
      <c r="E67" s="12">
        <f t="shared" si="1"/>
        <v>579578.69999999995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v>555578.69999999995</v>
      </c>
      <c r="S67" s="12">
        <v>24000</v>
      </c>
      <c r="T67" s="12"/>
      <c r="U67" s="153">
        <v>1</v>
      </c>
      <c r="V67" s="180">
        <f t="shared" si="2"/>
        <v>0</v>
      </c>
    </row>
    <row r="68" spans="1:22" x14ac:dyDescent="0.25">
      <c r="A68" s="10">
        <f t="shared" si="3"/>
        <v>56</v>
      </c>
      <c r="B68" s="10">
        <f t="shared" si="4"/>
        <v>56</v>
      </c>
      <c r="C68" s="158" t="s">
        <v>82</v>
      </c>
      <c r="D68" s="11" t="s">
        <v>298</v>
      </c>
      <c r="E68" s="12">
        <f t="shared" si="1"/>
        <v>347451.22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v>323451.21999999997</v>
      </c>
      <c r="S68" s="12">
        <v>24000</v>
      </c>
      <c r="T68" s="12"/>
      <c r="U68" s="153">
        <v>1</v>
      </c>
      <c r="V68" s="180">
        <f t="shared" si="2"/>
        <v>0</v>
      </c>
    </row>
    <row r="69" spans="1:22" x14ac:dyDescent="0.25">
      <c r="A69" s="10">
        <f t="shared" si="3"/>
        <v>57</v>
      </c>
      <c r="B69" s="10">
        <f t="shared" si="4"/>
        <v>57</v>
      </c>
      <c r="C69" s="158" t="s">
        <v>82</v>
      </c>
      <c r="D69" s="11" t="s">
        <v>300</v>
      </c>
      <c r="E69" s="12">
        <f t="shared" si="1"/>
        <v>400458.23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v>376458.23</v>
      </c>
      <c r="S69" s="12">
        <v>24000</v>
      </c>
      <c r="T69" s="12"/>
      <c r="U69" s="153">
        <v>1</v>
      </c>
      <c r="V69" s="180">
        <f t="shared" si="2"/>
        <v>0</v>
      </c>
    </row>
    <row r="70" spans="1:22" x14ac:dyDescent="0.25">
      <c r="A70" s="10">
        <f t="shared" si="3"/>
        <v>58</v>
      </c>
      <c r="B70" s="10">
        <f t="shared" si="4"/>
        <v>58</v>
      </c>
      <c r="C70" s="158" t="s">
        <v>82</v>
      </c>
      <c r="D70" s="11" t="s">
        <v>301</v>
      </c>
      <c r="E70" s="12">
        <f t="shared" si="1"/>
        <v>644109.07000000007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v>620109.07000000007</v>
      </c>
      <c r="S70" s="12">
        <v>24000</v>
      </c>
      <c r="T70" s="12"/>
      <c r="U70" s="153">
        <v>1</v>
      </c>
      <c r="V70" s="180">
        <f t="shared" si="2"/>
        <v>0</v>
      </c>
    </row>
    <row r="71" spans="1:22" x14ac:dyDescent="0.25">
      <c r="A71" s="10">
        <f t="shared" si="3"/>
        <v>59</v>
      </c>
      <c r="B71" s="10">
        <f t="shared" si="4"/>
        <v>59</v>
      </c>
      <c r="C71" s="158" t="s">
        <v>82</v>
      </c>
      <c r="D71" s="11" t="s">
        <v>302</v>
      </c>
      <c r="E71" s="12">
        <f t="shared" si="1"/>
        <v>645433.58000000007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v>621433.58000000007</v>
      </c>
      <c r="S71" s="12">
        <v>24000</v>
      </c>
      <c r="T71" s="12"/>
      <c r="U71" s="153">
        <v>1</v>
      </c>
      <c r="V71" s="180">
        <f t="shared" si="2"/>
        <v>0</v>
      </c>
    </row>
    <row r="72" spans="1:22" x14ac:dyDescent="0.25">
      <c r="A72" s="10">
        <f t="shared" si="3"/>
        <v>60</v>
      </c>
      <c r="B72" s="10">
        <f t="shared" si="4"/>
        <v>60</v>
      </c>
      <c r="C72" s="158" t="s">
        <v>82</v>
      </c>
      <c r="D72" s="11" t="s">
        <v>303</v>
      </c>
      <c r="E72" s="12">
        <f t="shared" si="1"/>
        <v>489797.92999999993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v>465797.92999999993</v>
      </c>
      <c r="S72" s="12">
        <v>24000</v>
      </c>
      <c r="T72" s="12"/>
      <c r="U72" s="153">
        <v>1</v>
      </c>
      <c r="V72" s="180">
        <f t="shared" si="2"/>
        <v>0</v>
      </c>
    </row>
    <row r="73" spans="1:22" x14ac:dyDescent="0.25">
      <c r="A73" s="10">
        <f t="shared" si="3"/>
        <v>61</v>
      </c>
      <c r="B73" s="10">
        <f t="shared" si="4"/>
        <v>61</v>
      </c>
      <c r="C73" s="158" t="s">
        <v>82</v>
      </c>
      <c r="D73" s="11" t="s">
        <v>304</v>
      </c>
      <c r="E73" s="12">
        <f t="shared" si="1"/>
        <v>510180.1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v>500180.1</v>
      </c>
      <c r="S73" s="12">
        <v>10000</v>
      </c>
      <c r="T73" s="12"/>
      <c r="U73" s="153">
        <v>1</v>
      </c>
      <c r="V73" s="180">
        <f t="shared" si="2"/>
        <v>0</v>
      </c>
    </row>
    <row r="74" spans="1:22" x14ac:dyDescent="0.25">
      <c r="A74" s="10">
        <f t="shared" si="3"/>
        <v>62</v>
      </c>
      <c r="B74" s="10">
        <f t="shared" si="4"/>
        <v>62</v>
      </c>
      <c r="C74" s="158" t="s">
        <v>82</v>
      </c>
      <c r="D74" s="11" t="s">
        <v>306</v>
      </c>
      <c r="E74" s="12">
        <f t="shared" si="1"/>
        <v>291856.58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v>267856.58</v>
      </c>
      <c r="S74" s="12">
        <v>24000</v>
      </c>
      <c r="T74" s="12"/>
      <c r="U74" s="153">
        <v>1</v>
      </c>
      <c r="V74" s="180">
        <f t="shared" si="2"/>
        <v>0</v>
      </c>
    </row>
    <row r="75" spans="1:22" x14ac:dyDescent="0.25">
      <c r="A75" s="10">
        <f t="shared" si="3"/>
        <v>63</v>
      </c>
      <c r="B75" s="10">
        <f t="shared" si="4"/>
        <v>63</v>
      </c>
      <c r="C75" s="158" t="s">
        <v>82</v>
      </c>
      <c r="D75" s="11" t="s">
        <v>309</v>
      </c>
      <c r="E75" s="12">
        <f t="shared" si="1"/>
        <v>628730.09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v>604730.09</v>
      </c>
      <c r="S75" s="12">
        <v>24000</v>
      </c>
      <c r="T75" s="12"/>
      <c r="U75" s="153">
        <v>1</v>
      </c>
      <c r="V75" s="180">
        <f t="shared" si="2"/>
        <v>0</v>
      </c>
    </row>
    <row r="76" spans="1:22" x14ac:dyDescent="0.25">
      <c r="A76" s="10">
        <f t="shared" si="3"/>
        <v>64</v>
      </c>
      <c r="B76" s="10">
        <f t="shared" si="4"/>
        <v>64</v>
      </c>
      <c r="C76" s="158" t="s">
        <v>82</v>
      </c>
      <c r="D76" s="11" t="s">
        <v>310</v>
      </c>
      <c r="E76" s="12">
        <f t="shared" si="1"/>
        <v>679433.91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v>669433.91</v>
      </c>
      <c r="S76" s="12">
        <v>10000</v>
      </c>
      <c r="T76" s="12"/>
      <c r="U76" s="153">
        <v>1</v>
      </c>
      <c r="V76" s="180">
        <f t="shared" si="2"/>
        <v>0</v>
      </c>
    </row>
    <row r="77" spans="1:22" x14ac:dyDescent="0.25">
      <c r="A77" s="10">
        <f t="shared" si="3"/>
        <v>65</v>
      </c>
      <c r="B77" s="10">
        <f t="shared" si="4"/>
        <v>65</v>
      </c>
      <c r="C77" s="158" t="s">
        <v>82</v>
      </c>
      <c r="D77" s="11" t="s">
        <v>312</v>
      </c>
      <c r="E77" s="12">
        <f t="shared" si="1"/>
        <v>352064.63038420893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v>328064.63038420893</v>
      </c>
      <c r="S77" s="12">
        <v>24000</v>
      </c>
      <c r="T77" s="12"/>
      <c r="U77" s="153">
        <v>1</v>
      </c>
      <c r="V77" s="180">
        <f t="shared" si="2"/>
        <v>0</v>
      </c>
    </row>
    <row r="78" spans="1:22" x14ac:dyDescent="0.25">
      <c r="A78" s="10">
        <f t="shared" si="3"/>
        <v>66</v>
      </c>
      <c r="B78" s="10">
        <f t="shared" si="4"/>
        <v>66</v>
      </c>
      <c r="C78" s="158" t="s">
        <v>82</v>
      </c>
      <c r="D78" s="11" t="s">
        <v>313</v>
      </c>
      <c r="E78" s="12">
        <f t="shared" si="1"/>
        <v>355412.14547568292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v>331412.14547568292</v>
      </c>
      <c r="S78" s="12">
        <v>24000</v>
      </c>
      <c r="T78" s="12"/>
      <c r="U78" s="153">
        <v>1</v>
      </c>
      <c r="V78" s="180">
        <f t="shared" si="2"/>
        <v>0</v>
      </c>
    </row>
    <row r="79" spans="1:22" x14ac:dyDescent="0.25">
      <c r="A79" s="10">
        <f t="shared" ref="A79:A142" si="6">+A78+1</f>
        <v>67</v>
      </c>
      <c r="B79" s="10">
        <f t="shared" ref="B79:B142" si="7">+B78+1</f>
        <v>67</v>
      </c>
      <c r="C79" s="158" t="s">
        <v>82</v>
      </c>
      <c r="D79" s="11" t="s">
        <v>314</v>
      </c>
      <c r="E79" s="12">
        <f t="shared" si="1"/>
        <v>354985.9572117221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v>330985.9572117221</v>
      </c>
      <c r="S79" s="12">
        <v>24000</v>
      </c>
      <c r="T79" s="12"/>
      <c r="U79" s="153">
        <v>1</v>
      </c>
      <c r="V79" s="180">
        <f t="shared" si="2"/>
        <v>0</v>
      </c>
    </row>
    <row r="80" spans="1:22" x14ac:dyDescent="0.25">
      <c r="A80" s="10">
        <f t="shared" si="6"/>
        <v>68</v>
      </c>
      <c r="B80" s="10">
        <f t="shared" si="7"/>
        <v>68</v>
      </c>
      <c r="C80" s="158" t="s">
        <v>82</v>
      </c>
      <c r="D80" s="11" t="s">
        <v>315</v>
      </c>
      <c r="E80" s="12">
        <f t="shared" si="1"/>
        <v>330088.81371888478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v>306088.81371888478</v>
      </c>
      <c r="S80" s="12">
        <v>24000</v>
      </c>
      <c r="T80" s="12"/>
      <c r="U80" s="153">
        <v>1</v>
      </c>
      <c r="V80" s="180">
        <f t="shared" si="2"/>
        <v>0</v>
      </c>
    </row>
    <row r="81" spans="1:22" x14ac:dyDescent="0.25">
      <c r="A81" s="10">
        <f t="shared" si="6"/>
        <v>69</v>
      </c>
      <c r="B81" s="10">
        <f t="shared" si="7"/>
        <v>69</v>
      </c>
      <c r="C81" s="158" t="s">
        <v>82</v>
      </c>
      <c r="D81" s="11" t="s">
        <v>316</v>
      </c>
      <c r="E81" s="12">
        <f t="shared" si="1"/>
        <v>364408.59228401899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v>340408.59228401899</v>
      </c>
      <c r="S81" s="12">
        <v>24000</v>
      </c>
      <c r="T81" s="12"/>
      <c r="U81" s="153">
        <v>1</v>
      </c>
      <c r="V81" s="180">
        <f t="shared" si="2"/>
        <v>0</v>
      </c>
    </row>
    <row r="82" spans="1:22" x14ac:dyDescent="0.25">
      <c r="A82" s="10">
        <f t="shared" si="6"/>
        <v>70</v>
      </c>
      <c r="B82" s="10">
        <f t="shared" si="7"/>
        <v>70</v>
      </c>
      <c r="C82" s="158" t="s">
        <v>82</v>
      </c>
      <c r="D82" s="11" t="s">
        <v>317</v>
      </c>
      <c r="E82" s="12">
        <f t="shared" si="1"/>
        <v>382905.16293991776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>
        <v>358905.16293991776</v>
      </c>
      <c r="S82" s="12">
        <v>24000</v>
      </c>
      <c r="T82" s="12"/>
      <c r="U82" s="153">
        <v>1</v>
      </c>
      <c r="V82" s="180">
        <f t="shared" si="2"/>
        <v>0</v>
      </c>
    </row>
    <row r="83" spans="1:22" x14ac:dyDescent="0.25">
      <c r="A83" s="10">
        <f t="shared" si="6"/>
        <v>71</v>
      </c>
      <c r="B83" s="10">
        <f t="shared" si="7"/>
        <v>71</v>
      </c>
      <c r="C83" s="158" t="s">
        <v>82</v>
      </c>
      <c r="D83" s="11" t="s">
        <v>318</v>
      </c>
      <c r="E83" s="12">
        <f t="shared" si="1"/>
        <v>30258.98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v>6258.98</v>
      </c>
      <c r="S83" s="12">
        <v>24000</v>
      </c>
      <c r="T83" s="12"/>
      <c r="U83" s="153">
        <v>1</v>
      </c>
      <c r="V83" s="180">
        <f t="shared" si="2"/>
        <v>0</v>
      </c>
    </row>
    <row r="84" spans="1:22" x14ac:dyDescent="0.25">
      <c r="A84" s="10">
        <f t="shared" si="6"/>
        <v>72</v>
      </c>
      <c r="B84" s="10">
        <f t="shared" si="7"/>
        <v>72</v>
      </c>
      <c r="C84" s="158" t="s">
        <v>82</v>
      </c>
      <c r="D84" s="11" t="s">
        <v>319</v>
      </c>
      <c r="E84" s="12">
        <f t="shared" si="1"/>
        <v>570579.72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v>560579.72</v>
      </c>
      <c r="S84" s="12">
        <v>10000</v>
      </c>
      <c r="T84" s="12"/>
      <c r="U84" s="153">
        <v>1</v>
      </c>
      <c r="V84" s="180">
        <f t="shared" si="2"/>
        <v>0</v>
      </c>
    </row>
    <row r="85" spans="1:22" x14ac:dyDescent="0.25">
      <c r="A85" s="10">
        <f t="shared" si="6"/>
        <v>73</v>
      </c>
      <c r="B85" s="10">
        <f t="shared" si="7"/>
        <v>73</v>
      </c>
      <c r="C85" s="158" t="s">
        <v>82</v>
      </c>
      <c r="D85" s="11" t="s">
        <v>320</v>
      </c>
      <c r="E85" s="12">
        <f t="shared" si="1"/>
        <v>356159.53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v>348159.53</v>
      </c>
      <c r="S85" s="12">
        <v>8000</v>
      </c>
      <c r="T85" s="12"/>
      <c r="U85" s="153">
        <v>1</v>
      </c>
      <c r="V85" s="180">
        <f t="shared" si="2"/>
        <v>0</v>
      </c>
    </row>
    <row r="86" spans="1:22" x14ac:dyDescent="0.25">
      <c r="A86" s="10">
        <f t="shared" si="6"/>
        <v>74</v>
      </c>
      <c r="B86" s="10">
        <f t="shared" si="7"/>
        <v>74</v>
      </c>
      <c r="C86" s="158" t="s">
        <v>82</v>
      </c>
      <c r="D86" s="11" t="s">
        <v>321</v>
      </c>
      <c r="E86" s="12">
        <f t="shared" si="1"/>
        <v>315921.42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v>307921.42</v>
      </c>
      <c r="S86" s="12">
        <v>8000</v>
      </c>
      <c r="T86" s="12"/>
      <c r="U86" s="153">
        <v>1</v>
      </c>
      <c r="V86" s="180">
        <f t="shared" si="2"/>
        <v>0</v>
      </c>
    </row>
    <row r="87" spans="1:22" x14ac:dyDescent="0.25">
      <c r="A87" s="10">
        <f t="shared" si="6"/>
        <v>75</v>
      </c>
      <c r="B87" s="10">
        <f t="shared" si="7"/>
        <v>75</v>
      </c>
      <c r="C87" s="158" t="s">
        <v>82</v>
      </c>
      <c r="D87" s="11" t="s">
        <v>322</v>
      </c>
      <c r="E87" s="12">
        <f t="shared" si="1"/>
        <v>398499.78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v>390499.78</v>
      </c>
      <c r="S87" s="12">
        <v>8000</v>
      </c>
      <c r="T87" s="12"/>
      <c r="U87" s="153">
        <v>1</v>
      </c>
      <c r="V87" s="180">
        <f t="shared" si="2"/>
        <v>0</v>
      </c>
    </row>
    <row r="88" spans="1:22" x14ac:dyDescent="0.25">
      <c r="A88" s="10">
        <f t="shared" si="6"/>
        <v>76</v>
      </c>
      <c r="B88" s="10">
        <f t="shared" si="7"/>
        <v>76</v>
      </c>
      <c r="C88" s="158" t="s">
        <v>82</v>
      </c>
      <c r="D88" s="11" t="s">
        <v>324</v>
      </c>
      <c r="E88" s="12">
        <f t="shared" si="1"/>
        <v>569954.38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v>521954.38</v>
      </c>
      <c r="S88" s="12">
        <v>48000</v>
      </c>
      <c r="T88" s="12"/>
      <c r="U88" s="153">
        <v>1</v>
      </c>
      <c r="V88" s="180">
        <f t="shared" si="2"/>
        <v>0</v>
      </c>
    </row>
    <row r="89" spans="1:22" x14ac:dyDescent="0.25">
      <c r="A89" s="10">
        <f t="shared" si="6"/>
        <v>77</v>
      </c>
      <c r="B89" s="10">
        <f t="shared" si="7"/>
        <v>77</v>
      </c>
      <c r="C89" s="158" t="s">
        <v>82</v>
      </c>
      <c r="D89" s="11" t="s">
        <v>325</v>
      </c>
      <c r="E89" s="12">
        <f t="shared" si="1"/>
        <v>335675.75441553449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v>311675.75441553449</v>
      </c>
      <c r="S89" s="12">
        <v>24000</v>
      </c>
      <c r="T89" s="12"/>
      <c r="U89" s="153">
        <v>1</v>
      </c>
      <c r="V89" s="180">
        <f t="shared" si="2"/>
        <v>0</v>
      </c>
    </row>
    <row r="90" spans="1:22" x14ac:dyDescent="0.25">
      <c r="A90" s="10">
        <f t="shared" si="6"/>
        <v>78</v>
      </c>
      <c r="B90" s="10">
        <f t="shared" si="7"/>
        <v>78</v>
      </c>
      <c r="C90" s="158" t="s">
        <v>82</v>
      </c>
      <c r="D90" s="11" t="s">
        <v>327</v>
      </c>
      <c r="E90" s="12">
        <f t="shared" si="1"/>
        <v>349563.7261175625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v>325563.7261175625</v>
      </c>
      <c r="S90" s="12">
        <v>24000</v>
      </c>
      <c r="T90" s="12"/>
      <c r="U90" s="153">
        <v>1</v>
      </c>
      <c r="V90" s="180">
        <f t="shared" si="2"/>
        <v>0</v>
      </c>
    </row>
    <row r="91" spans="1:22" x14ac:dyDescent="0.25">
      <c r="A91" s="10">
        <f t="shared" si="6"/>
        <v>79</v>
      </c>
      <c r="B91" s="10">
        <f t="shared" si="7"/>
        <v>79</v>
      </c>
      <c r="C91" s="158" t="s">
        <v>82</v>
      </c>
      <c r="D91" s="11" t="s">
        <v>328</v>
      </c>
      <c r="E91" s="12">
        <f t="shared" si="1"/>
        <v>341642.39011098578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v>317642.39011098578</v>
      </c>
      <c r="S91" s="12">
        <v>24000</v>
      </c>
      <c r="T91" s="12"/>
      <c r="U91" s="153">
        <v>1</v>
      </c>
      <c r="V91" s="180">
        <f t="shared" si="2"/>
        <v>0</v>
      </c>
    </row>
    <row r="92" spans="1:22" x14ac:dyDescent="0.25">
      <c r="A92" s="10">
        <f t="shared" si="6"/>
        <v>80</v>
      </c>
      <c r="B92" s="10">
        <f t="shared" si="7"/>
        <v>80</v>
      </c>
      <c r="C92" s="158" t="s">
        <v>82</v>
      </c>
      <c r="D92" s="11" t="s">
        <v>329</v>
      </c>
      <c r="E92" s="12">
        <f t="shared" si="1"/>
        <v>459705.43000000005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>
        <v>449705.43000000005</v>
      </c>
      <c r="S92" s="12">
        <v>10000</v>
      </c>
      <c r="T92" s="12"/>
      <c r="U92" s="153">
        <v>1</v>
      </c>
      <c r="V92" s="180">
        <f t="shared" si="2"/>
        <v>0</v>
      </c>
    </row>
    <row r="93" spans="1:22" x14ac:dyDescent="0.25">
      <c r="A93" s="10">
        <f t="shared" si="6"/>
        <v>81</v>
      </c>
      <c r="B93" s="10">
        <f t="shared" si="7"/>
        <v>81</v>
      </c>
      <c r="C93" s="158" t="s">
        <v>82</v>
      </c>
      <c r="D93" s="11" t="s">
        <v>330</v>
      </c>
      <c r="E93" s="12">
        <f t="shared" si="1"/>
        <v>166703.26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>
        <v>158703.26</v>
      </c>
      <c r="S93" s="12">
        <v>8000</v>
      </c>
      <c r="T93" s="12"/>
      <c r="U93" s="153">
        <v>1</v>
      </c>
      <c r="V93" s="180">
        <f t="shared" si="2"/>
        <v>0</v>
      </c>
    </row>
    <row r="94" spans="1:22" x14ac:dyDescent="0.25">
      <c r="A94" s="10">
        <f t="shared" si="6"/>
        <v>82</v>
      </c>
      <c r="B94" s="10">
        <f t="shared" si="7"/>
        <v>82</v>
      </c>
      <c r="C94" s="158" t="s">
        <v>82</v>
      </c>
      <c r="D94" s="11" t="s">
        <v>332</v>
      </c>
      <c r="E94" s="12">
        <f t="shared" si="1"/>
        <v>173573.47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>
        <v>165573.47</v>
      </c>
      <c r="S94" s="12">
        <v>8000</v>
      </c>
      <c r="T94" s="12"/>
      <c r="U94" s="153">
        <v>1</v>
      </c>
      <c r="V94" s="180">
        <f t="shared" si="2"/>
        <v>0</v>
      </c>
    </row>
    <row r="95" spans="1:22" x14ac:dyDescent="0.25">
      <c r="A95" s="10">
        <f t="shared" si="6"/>
        <v>83</v>
      </c>
      <c r="B95" s="10">
        <f t="shared" si="7"/>
        <v>83</v>
      </c>
      <c r="C95" s="158" t="s">
        <v>82</v>
      </c>
      <c r="D95" s="11" t="s">
        <v>333</v>
      </c>
      <c r="E95" s="12">
        <f t="shared" si="1"/>
        <v>779598.42999999993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v>767598.42999999993</v>
      </c>
      <c r="S95" s="12">
        <v>12000</v>
      </c>
      <c r="T95" s="12"/>
      <c r="U95" s="153">
        <v>1</v>
      </c>
      <c r="V95" s="180">
        <f t="shared" si="2"/>
        <v>0</v>
      </c>
    </row>
    <row r="96" spans="1:22" x14ac:dyDescent="0.25">
      <c r="A96" s="10">
        <f t="shared" si="6"/>
        <v>84</v>
      </c>
      <c r="B96" s="10">
        <f t="shared" si="7"/>
        <v>84</v>
      </c>
      <c r="C96" s="158" t="s">
        <v>82</v>
      </c>
      <c r="D96" s="11" t="s">
        <v>336</v>
      </c>
      <c r="E96" s="12">
        <f t="shared" si="1"/>
        <v>1035363.46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>
        <v>1025363.46</v>
      </c>
      <c r="S96" s="12">
        <v>10000</v>
      </c>
      <c r="T96" s="12"/>
      <c r="U96" s="153">
        <v>1</v>
      </c>
      <c r="V96" s="180">
        <f t="shared" si="2"/>
        <v>0</v>
      </c>
    </row>
    <row r="97" spans="1:22" x14ac:dyDescent="0.25">
      <c r="A97" s="10">
        <f t="shared" si="6"/>
        <v>85</v>
      </c>
      <c r="B97" s="10">
        <f t="shared" si="7"/>
        <v>85</v>
      </c>
      <c r="C97" s="158" t="s">
        <v>82</v>
      </c>
      <c r="D97" s="11" t="s">
        <v>337</v>
      </c>
      <c r="E97" s="12">
        <f t="shared" si="1"/>
        <v>412442.82787746476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v>388442.82787746476</v>
      </c>
      <c r="S97" s="12">
        <v>24000</v>
      </c>
      <c r="T97" s="12"/>
      <c r="U97" s="153">
        <v>1</v>
      </c>
      <c r="V97" s="180">
        <f t="shared" si="2"/>
        <v>0</v>
      </c>
    </row>
    <row r="98" spans="1:22" x14ac:dyDescent="0.25">
      <c r="A98" s="10">
        <f t="shared" si="6"/>
        <v>86</v>
      </c>
      <c r="B98" s="10">
        <f t="shared" si="7"/>
        <v>86</v>
      </c>
      <c r="C98" s="158" t="s">
        <v>82</v>
      </c>
      <c r="D98" s="11" t="s">
        <v>338</v>
      </c>
      <c r="E98" s="12">
        <f t="shared" si="1"/>
        <v>314561.06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v>306561.06</v>
      </c>
      <c r="S98" s="12">
        <v>8000</v>
      </c>
      <c r="T98" s="12"/>
      <c r="U98" s="153">
        <v>1</v>
      </c>
      <c r="V98" s="180">
        <f t="shared" si="2"/>
        <v>0</v>
      </c>
    </row>
    <row r="99" spans="1:22" x14ac:dyDescent="0.25">
      <c r="A99" s="10">
        <f t="shared" si="6"/>
        <v>87</v>
      </c>
      <c r="B99" s="10">
        <f t="shared" si="7"/>
        <v>87</v>
      </c>
      <c r="C99" s="158" t="s">
        <v>82</v>
      </c>
      <c r="D99" s="11" t="s">
        <v>339</v>
      </c>
      <c r="E99" s="12">
        <f t="shared" si="1"/>
        <v>816121.81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v>806121.81</v>
      </c>
      <c r="S99" s="12">
        <v>10000</v>
      </c>
      <c r="T99" s="12"/>
      <c r="U99" s="153">
        <v>1</v>
      </c>
      <c r="V99" s="180">
        <f t="shared" si="2"/>
        <v>0</v>
      </c>
    </row>
    <row r="100" spans="1:22" x14ac:dyDescent="0.25">
      <c r="A100" s="10">
        <f t="shared" si="6"/>
        <v>88</v>
      </c>
      <c r="B100" s="10">
        <f t="shared" si="7"/>
        <v>88</v>
      </c>
      <c r="C100" s="158" t="s">
        <v>82</v>
      </c>
      <c r="D100" s="11" t="s">
        <v>340</v>
      </c>
      <c r="E100" s="12">
        <f t="shared" si="1"/>
        <v>527866.23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v>515866.23</v>
      </c>
      <c r="S100" s="12">
        <v>12000</v>
      </c>
      <c r="T100" s="12"/>
      <c r="U100" s="153">
        <v>1</v>
      </c>
      <c r="V100" s="180">
        <f t="shared" si="2"/>
        <v>0</v>
      </c>
    </row>
    <row r="101" spans="1:22" x14ac:dyDescent="0.25">
      <c r="A101" s="10">
        <f t="shared" si="6"/>
        <v>89</v>
      </c>
      <c r="B101" s="10">
        <f t="shared" si="7"/>
        <v>89</v>
      </c>
      <c r="C101" s="158" t="s">
        <v>82</v>
      </c>
      <c r="D101" s="11" t="s">
        <v>341</v>
      </c>
      <c r="E101" s="12">
        <f t="shared" si="1"/>
        <v>425235.56999999995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v>417235.56999999995</v>
      </c>
      <c r="S101" s="12">
        <v>8000</v>
      </c>
      <c r="T101" s="12"/>
      <c r="U101" s="153">
        <v>1</v>
      </c>
      <c r="V101" s="180">
        <f t="shared" si="2"/>
        <v>0</v>
      </c>
    </row>
    <row r="102" spans="1:22" x14ac:dyDescent="0.25">
      <c r="A102" s="10">
        <f t="shared" si="6"/>
        <v>90</v>
      </c>
      <c r="B102" s="10">
        <f t="shared" si="7"/>
        <v>90</v>
      </c>
      <c r="C102" s="158" t="s">
        <v>82</v>
      </c>
      <c r="D102" s="11" t="s">
        <v>342</v>
      </c>
      <c r="E102" s="12">
        <f t="shared" si="1"/>
        <v>894975.79999999993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v>884975.79999999993</v>
      </c>
      <c r="S102" s="12">
        <v>10000</v>
      </c>
      <c r="T102" s="12"/>
      <c r="U102" s="153">
        <v>1</v>
      </c>
      <c r="V102" s="180">
        <f t="shared" si="2"/>
        <v>0</v>
      </c>
    </row>
    <row r="103" spans="1:22" x14ac:dyDescent="0.25">
      <c r="A103" s="10">
        <f t="shared" si="6"/>
        <v>91</v>
      </c>
      <c r="B103" s="10">
        <f t="shared" si="7"/>
        <v>91</v>
      </c>
      <c r="C103" s="158" t="s">
        <v>82</v>
      </c>
      <c r="D103" s="11" t="s">
        <v>343</v>
      </c>
      <c r="E103" s="12">
        <f t="shared" si="1"/>
        <v>298717.92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v>274717.92</v>
      </c>
      <c r="S103" s="12">
        <v>24000</v>
      </c>
      <c r="T103" s="12"/>
      <c r="U103" s="153">
        <v>1</v>
      </c>
      <c r="V103" s="180">
        <f t="shared" si="2"/>
        <v>0</v>
      </c>
    </row>
    <row r="104" spans="1:22" x14ac:dyDescent="0.25">
      <c r="A104" s="10">
        <f t="shared" si="6"/>
        <v>92</v>
      </c>
      <c r="B104" s="10">
        <f t="shared" si="7"/>
        <v>92</v>
      </c>
      <c r="C104" s="158" t="s">
        <v>82</v>
      </c>
      <c r="D104" s="11" t="s">
        <v>344</v>
      </c>
      <c r="E104" s="12">
        <f t="shared" si="1"/>
        <v>658104.89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v>634104.89</v>
      </c>
      <c r="S104" s="12">
        <v>24000</v>
      </c>
      <c r="T104" s="12"/>
      <c r="U104" s="153">
        <v>1</v>
      </c>
      <c r="V104" s="180">
        <f t="shared" si="2"/>
        <v>0</v>
      </c>
    </row>
    <row r="105" spans="1:22" x14ac:dyDescent="0.25">
      <c r="A105" s="10">
        <f t="shared" si="6"/>
        <v>93</v>
      </c>
      <c r="B105" s="10">
        <f t="shared" si="7"/>
        <v>93</v>
      </c>
      <c r="C105" s="158" t="s">
        <v>49</v>
      </c>
      <c r="D105" s="11" t="s">
        <v>934</v>
      </c>
      <c r="E105" s="12">
        <f>SUM(F105:T105)</f>
        <v>1389861.8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v>1365861.8</v>
      </c>
      <c r="S105" s="12">
        <v>24000</v>
      </c>
      <c r="T105" s="12"/>
      <c r="U105" s="153">
        <v>1</v>
      </c>
      <c r="V105" s="180">
        <f>+E105-R105-S105</f>
        <v>0</v>
      </c>
    </row>
    <row r="106" spans="1:22" x14ac:dyDescent="0.25">
      <c r="A106" s="10">
        <f t="shared" si="6"/>
        <v>94</v>
      </c>
      <c r="B106" s="10">
        <f t="shared" si="7"/>
        <v>94</v>
      </c>
      <c r="C106" s="158" t="s">
        <v>50</v>
      </c>
      <c r="D106" s="11" t="s">
        <v>960</v>
      </c>
      <c r="E106" s="12">
        <f t="shared" si="1"/>
        <v>409917.87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>
        <v>385917.87</v>
      </c>
      <c r="S106" s="12">
        <v>24000</v>
      </c>
      <c r="T106" s="12"/>
      <c r="U106" s="153">
        <v>1</v>
      </c>
      <c r="V106" s="180">
        <f t="shared" si="2"/>
        <v>0</v>
      </c>
    </row>
    <row r="107" spans="1:22" x14ac:dyDescent="0.25">
      <c r="A107" s="10">
        <f t="shared" si="6"/>
        <v>95</v>
      </c>
      <c r="B107" s="10">
        <f t="shared" si="7"/>
        <v>95</v>
      </c>
      <c r="C107" s="158" t="s">
        <v>71</v>
      </c>
      <c r="D107" s="11" t="s">
        <v>954</v>
      </c>
      <c r="E107" s="12">
        <f t="shared" si="1"/>
        <v>181853.98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v>157853.98000000001</v>
      </c>
      <c r="S107" s="12">
        <v>24000</v>
      </c>
      <c r="T107" s="12"/>
      <c r="U107" s="153">
        <v>1</v>
      </c>
      <c r="V107" s="180">
        <f t="shared" si="2"/>
        <v>0</v>
      </c>
    </row>
    <row r="108" spans="1:22" x14ac:dyDescent="0.25">
      <c r="A108" s="10">
        <f t="shared" si="6"/>
        <v>96</v>
      </c>
      <c r="B108" s="10">
        <f t="shared" si="7"/>
        <v>96</v>
      </c>
      <c r="C108" s="158" t="s">
        <v>71</v>
      </c>
      <c r="D108" s="11" t="s">
        <v>955</v>
      </c>
      <c r="E108" s="12">
        <f t="shared" si="1"/>
        <v>316118.53000000003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v>292118.53000000003</v>
      </c>
      <c r="S108" s="12">
        <v>24000</v>
      </c>
      <c r="T108" s="12"/>
      <c r="U108" s="153">
        <v>1</v>
      </c>
      <c r="V108" s="180">
        <f t="shared" si="2"/>
        <v>0</v>
      </c>
    </row>
    <row r="109" spans="1:22" x14ac:dyDescent="0.25">
      <c r="A109" s="10">
        <f t="shared" si="6"/>
        <v>97</v>
      </c>
      <c r="B109" s="10">
        <f t="shared" si="7"/>
        <v>97</v>
      </c>
      <c r="C109" s="158" t="s">
        <v>71</v>
      </c>
      <c r="D109" s="11" t="s">
        <v>956</v>
      </c>
      <c r="E109" s="12">
        <f t="shared" ref="E109:E134" si="8">SUM(F109:T109)</f>
        <v>344861.6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v>320861.59999999998</v>
      </c>
      <c r="S109" s="12">
        <v>24000</v>
      </c>
      <c r="T109" s="12"/>
      <c r="U109" s="153">
        <v>1</v>
      </c>
      <c r="V109" s="180">
        <f t="shared" si="2"/>
        <v>0</v>
      </c>
    </row>
    <row r="110" spans="1:22" x14ac:dyDescent="0.25">
      <c r="A110" s="10">
        <f t="shared" si="6"/>
        <v>98</v>
      </c>
      <c r="B110" s="10">
        <f t="shared" si="7"/>
        <v>98</v>
      </c>
      <c r="C110" s="158" t="s">
        <v>71</v>
      </c>
      <c r="D110" s="11" t="s">
        <v>957</v>
      </c>
      <c r="E110" s="12">
        <f t="shared" si="8"/>
        <v>284554.5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>
        <v>260554.5</v>
      </c>
      <c r="S110" s="12">
        <v>24000</v>
      </c>
      <c r="T110" s="12"/>
      <c r="U110" s="153">
        <v>1</v>
      </c>
      <c r="V110" s="180">
        <f t="shared" si="2"/>
        <v>0</v>
      </c>
    </row>
    <row r="111" spans="1:22" x14ac:dyDescent="0.25">
      <c r="A111" s="10">
        <f t="shared" si="6"/>
        <v>99</v>
      </c>
      <c r="B111" s="10">
        <f t="shared" si="7"/>
        <v>99</v>
      </c>
      <c r="C111" s="158" t="s">
        <v>71</v>
      </c>
      <c r="D111" s="11" t="s">
        <v>958</v>
      </c>
      <c r="E111" s="12">
        <f t="shared" si="8"/>
        <v>316646.27999999997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>
        <v>268646.27999999997</v>
      </c>
      <c r="S111" s="12">
        <v>48000</v>
      </c>
      <c r="T111" s="12"/>
      <c r="U111" s="153">
        <v>1</v>
      </c>
      <c r="V111" s="180">
        <f t="shared" si="2"/>
        <v>0</v>
      </c>
    </row>
    <row r="112" spans="1:22" x14ac:dyDescent="0.25">
      <c r="A112" s="10">
        <f t="shared" si="6"/>
        <v>100</v>
      </c>
      <c r="B112" s="10">
        <f t="shared" si="7"/>
        <v>100</v>
      </c>
      <c r="C112" s="158" t="s">
        <v>71</v>
      </c>
      <c r="D112" s="11" t="s">
        <v>959</v>
      </c>
      <c r="E112" s="12">
        <f t="shared" si="8"/>
        <v>213070.32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>
        <v>189070.32</v>
      </c>
      <c r="S112" s="12">
        <v>24000</v>
      </c>
      <c r="T112" s="12"/>
      <c r="U112" s="153">
        <v>1</v>
      </c>
      <c r="V112" s="180">
        <f t="shared" si="2"/>
        <v>0</v>
      </c>
    </row>
    <row r="113" spans="1:22" x14ac:dyDescent="0.25">
      <c r="A113" s="10">
        <f t="shared" si="6"/>
        <v>101</v>
      </c>
      <c r="B113" s="10">
        <f t="shared" si="7"/>
        <v>101</v>
      </c>
      <c r="C113" s="158" t="s">
        <v>51</v>
      </c>
      <c r="D113" s="11" t="s">
        <v>951</v>
      </c>
      <c r="E113" s="12">
        <f t="shared" si="8"/>
        <v>777051.21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>
        <v>753051.21</v>
      </c>
      <c r="S113" s="12">
        <v>24000</v>
      </c>
      <c r="T113" s="12"/>
      <c r="U113" s="153">
        <v>1</v>
      </c>
      <c r="V113" s="180">
        <f>+E113-R113-S113</f>
        <v>0</v>
      </c>
    </row>
    <row r="114" spans="1:22" x14ac:dyDescent="0.25">
      <c r="A114" s="10">
        <f t="shared" si="6"/>
        <v>102</v>
      </c>
      <c r="B114" s="10">
        <f t="shared" si="7"/>
        <v>102</v>
      </c>
      <c r="C114" s="158" t="s">
        <v>51</v>
      </c>
      <c r="D114" s="11" t="s">
        <v>952</v>
      </c>
      <c r="E114" s="12">
        <f t="shared" si="8"/>
        <v>112633.63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>
        <v>88633.63</v>
      </c>
      <c r="S114" s="12">
        <v>24000</v>
      </c>
      <c r="T114" s="12"/>
      <c r="U114" s="153">
        <v>1</v>
      </c>
      <c r="V114" s="180">
        <f>+E114-R114-S114</f>
        <v>0</v>
      </c>
    </row>
    <row r="115" spans="1:22" x14ac:dyDescent="0.25">
      <c r="A115" s="10">
        <f t="shared" si="6"/>
        <v>103</v>
      </c>
      <c r="B115" s="10">
        <f t="shared" si="7"/>
        <v>103</v>
      </c>
      <c r="C115" s="158" t="s">
        <v>51</v>
      </c>
      <c r="D115" s="11" t="s">
        <v>953</v>
      </c>
      <c r="E115" s="12">
        <f t="shared" si="8"/>
        <v>495351.51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>
        <v>471351.51</v>
      </c>
      <c r="S115" s="12">
        <v>24000</v>
      </c>
      <c r="T115" s="12"/>
      <c r="U115" s="153">
        <v>1</v>
      </c>
      <c r="V115" s="180">
        <f>+E115-R115-S115</f>
        <v>0</v>
      </c>
    </row>
    <row r="116" spans="1:22" x14ac:dyDescent="0.25">
      <c r="A116" s="10">
        <f t="shared" si="6"/>
        <v>104</v>
      </c>
      <c r="B116" s="10">
        <f t="shared" si="7"/>
        <v>104</v>
      </c>
      <c r="C116" s="158" t="s">
        <v>51</v>
      </c>
      <c r="D116" s="11" t="s">
        <v>944</v>
      </c>
      <c r="E116" s="12">
        <f t="shared" si="8"/>
        <v>219585.07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>
        <v>195585.07</v>
      </c>
      <c r="S116" s="12">
        <v>24000</v>
      </c>
      <c r="T116" s="12"/>
      <c r="U116" s="153">
        <v>1</v>
      </c>
      <c r="V116" s="180">
        <f>+E116-R116-S116</f>
        <v>0</v>
      </c>
    </row>
    <row r="117" spans="1:22" x14ac:dyDescent="0.25">
      <c r="A117" s="10">
        <f t="shared" si="6"/>
        <v>105</v>
      </c>
      <c r="B117" s="10">
        <f t="shared" si="7"/>
        <v>105</v>
      </c>
      <c r="C117" s="158" t="s">
        <v>51</v>
      </c>
      <c r="D117" s="11" t="s">
        <v>945</v>
      </c>
      <c r="E117" s="12">
        <f t="shared" si="8"/>
        <v>979401.28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>
        <v>955401.28</v>
      </c>
      <c r="S117" s="12">
        <v>24000</v>
      </c>
      <c r="T117" s="12"/>
      <c r="U117" s="153">
        <v>1</v>
      </c>
      <c r="V117" s="180">
        <f t="shared" si="2"/>
        <v>0</v>
      </c>
    </row>
    <row r="118" spans="1:22" x14ac:dyDescent="0.25">
      <c r="A118" s="10">
        <f t="shared" si="6"/>
        <v>106</v>
      </c>
      <c r="B118" s="10">
        <f t="shared" si="7"/>
        <v>106</v>
      </c>
      <c r="C118" s="158" t="s">
        <v>51</v>
      </c>
      <c r="D118" s="11" t="s">
        <v>946</v>
      </c>
      <c r="E118" s="12">
        <f t="shared" si="8"/>
        <v>1060519.5599999998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>
        <v>1036519.5599999998</v>
      </c>
      <c r="S118" s="12">
        <v>24000</v>
      </c>
      <c r="T118" s="12"/>
      <c r="U118" s="153">
        <v>1</v>
      </c>
      <c r="V118" s="180">
        <f t="shared" si="2"/>
        <v>0</v>
      </c>
    </row>
    <row r="119" spans="1:22" x14ac:dyDescent="0.25">
      <c r="A119" s="10">
        <f t="shared" si="6"/>
        <v>107</v>
      </c>
      <c r="B119" s="10">
        <f t="shared" si="7"/>
        <v>107</v>
      </c>
      <c r="C119" s="158" t="s">
        <v>51</v>
      </c>
      <c r="D119" s="11" t="s">
        <v>947</v>
      </c>
      <c r="E119" s="12">
        <f t="shared" si="8"/>
        <v>1130630.8899999999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>
        <v>1106630.8899999999</v>
      </c>
      <c r="S119" s="12">
        <v>24000</v>
      </c>
      <c r="T119" s="12"/>
      <c r="U119" s="153">
        <v>1</v>
      </c>
      <c r="V119" s="180">
        <f t="shared" ref="V119:V191" si="9">+E119-R119-S119</f>
        <v>0</v>
      </c>
    </row>
    <row r="120" spans="1:22" x14ac:dyDescent="0.25">
      <c r="A120" s="10">
        <f t="shared" si="6"/>
        <v>108</v>
      </c>
      <c r="B120" s="10">
        <f t="shared" si="7"/>
        <v>108</v>
      </c>
      <c r="C120" s="158" t="s">
        <v>51</v>
      </c>
      <c r="D120" s="11" t="s">
        <v>948</v>
      </c>
      <c r="E120" s="12">
        <f t="shared" si="8"/>
        <v>1051018.73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>
        <v>1039018.73</v>
      </c>
      <c r="S120" s="12">
        <v>12000</v>
      </c>
      <c r="T120" s="12"/>
      <c r="U120" s="153">
        <v>1</v>
      </c>
      <c r="V120" s="180">
        <f t="shared" si="9"/>
        <v>0</v>
      </c>
    </row>
    <row r="121" spans="1:22" x14ac:dyDescent="0.25">
      <c r="A121" s="10">
        <f t="shared" si="6"/>
        <v>109</v>
      </c>
      <c r="B121" s="10">
        <f t="shared" si="7"/>
        <v>109</v>
      </c>
      <c r="C121" s="158" t="s">
        <v>51</v>
      </c>
      <c r="D121" s="11" t="s">
        <v>949</v>
      </c>
      <c r="E121" s="12">
        <f t="shared" si="8"/>
        <v>865571.13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>
        <v>831571.13</v>
      </c>
      <c r="S121" s="12">
        <v>34000</v>
      </c>
      <c r="T121" s="12"/>
      <c r="U121" s="153">
        <v>1</v>
      </c>
      <c r="V121" s="180">
        <f t="shared" si="9"/>
        <v>0</v>
      </c>
    </row>
    <row r="122" spans="1:22" x14ac:dyDescent="0.25">
      <c r="A122" s="10">
        <f t="shared" si="6"/>
        <v>110</v>
      </c>
      <c r="B122" s="10">
        <f t="shared" si="7"/>
        <v>110</v>
      </c>
      <c r="C122" s="158" t="s">
        <v>51</v>
      </c>
      <c r="D122" s="11" t="s">
        <v>950</v>
      </c>
      <c r="E122" s="12">
        <f t="shared" si="8"/>
        <v>206798.07999999999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>
        <v>196798.07999999999</v>
      </c>
      <c r="S122" s="12">
        <v>10000</v>
      </c>
      <c r="T122" s="12"/>
      <c r="U122" s="153">
        <v>1</v>
      </c>
      <c r="V122" s="180">
        <f t="shared" si="9"/>
        <v>0</v>
      </c>
    </row>
    <row r="123" spans="1:22" x14ac:dyDescent="0.25">
      <c r="A123" s="10">
        <f t="shared" si="6"/>
        <v>111</v>
      </c>
      <c r="B123" s="17">
        <f t="shared" si="7"/>
        <v>111</v>
      </c>
      <c r="C123" s="62" t="s">
        <v>94</v>
      </c>
      <c r="D123" s="18" t="s">
        <v>401</v>
      </c>
      <c r="E123" s="13">
        <f t="shared" si="8"/>
        <v>630100.6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>
        <v>606100.6</v>
      </c>
      <c r="S123" s="13">
        <v>24000</v>
      </c>
      <c r="T123" s="13"/>
      <c r="U123" s="153">
        <v>1</v>
      </c>
      <c r="V123" s="180">
        <f t="shared" si="9"/>
        <v>0</v>
      </c>
    </row>
    <row r="124" spans="1:22" x14ac:dyDescent="0.25">
      <c r="A124" s="10">
        <f t="shared" si="6"/>
        <v>112</v>
      </c>
      <c r="B124" s="17">
        <f t="shared" si="7"/>
        <v>112</v>
      </c>
      <c r="C124" s="62" t="s">
        <v>94</v>
      </c>
      <c r="D124" s="18" t="s">
        <v>604</v>
      </c>
      <c r="E124" s="13">
        <f t="shared" si="8"/>
        <v>24000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>
        <v>24000</v>
      </c>
      <c r="T124" s="13"/>
      <c r="U124" s="153"/>
      <c r="V124" s="180"/>
    </row>
    <row r="125" spans="1:22" x14ac:dyDescent="0.25">
      <c r="A125" s="10">
        <f t="shared" si="6"/>
        <v>113</v>
      </c>
      <c r="B125" s="17">
        <f t="shared" si="7"/>
        <v>113</v>
      </c>
      <c r="C125" s="62" t="s">
        <v>94</v>
      </c>
      <c r="D125" s="18" t="s">
        <v>994</v>
      </c>
      <c r="E125" s="13">
        <f t="shared" si="8"/>
        <v>24000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>
        <v>24000</v>
      </c>
      <c r="T125" s="13"/>
      <c r="U125" s="181">
        <v>1</v>
      </c>
      <c r="V125" s="180">
        <f t="shared" si="9"/>
        <v>0</v>
      </c>
    </row>
    <row r="126" spans="1:22" x14ac:dyDescent="0.25">
      <c r="A126" s="10">
        <f t="shared" si="6"/>
        <v>114</v>
      </c>
      <c r="B126" s="17">
        <f t="shared" si="7"/>
        <v>114</v>
      </c>
      <c r="C126" s="62" t="s">
        <v>94</v>
      </c>
      <c r="D126" s="18" t="s">
        <v>541</v>
      </c>
      <c r="E126" s="13">
        <f t="shared" si="8"/>
        <v>24000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>
        <v>24000</v>
      </c>
      <c r="T126" s="13"/>
      <c r="U126" s="181">
        <v>1</v>
      </c>
      <c r="V126" s="180">
        <f t="shared" si="9"/>
        <v>0</v>
      </c>
    </row>
    <row r="127" spans="1:22" x14ac:dyDescent="0.25">
      <c r="A127" s="10">
        <f t="shared" si="6"/>
        <v>115</v>
      </c>
      <c r="B127" s="17">
        <f t="shared" si="7"/>
        <v>115</v>
      </c>
      <c r="C127" s="62" t="s">
        <v>94</v>
      </c>
      <c r="D127" s="18" t="s">
        <v>542</v>
      </c>
      <c r="E127" s="13">
        <f t="shared" si="8"/>
        <v>24000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>
        <v>24000</v>
      </c>
      <c r="T127" s="13"/>
      <c r="U127" s="181">
        <v>1</v>
      </c>
      <c r="V127" s="180">
        <f t="shared" si="9"/>
        <v>0</v>
      </c>
    </row>
    <row r="128" spans="1:22" x14ac:dyDescent="0.25">
      <c r="A128" s="10">
        <f t="shared" si="6"/>
        <v>116</v>
      </c>
      <c r="B128" s="17">
        <f t="shared" si="7"/>
        <v>116</v>
      </c>
      <c r="C128" s="62" t="s">
        <v>94</v>
      </c>
      <c r="D128" s="18" t="s">
        <v>543</v>
      </c>
      <c r="E128" s="13">
        <f t="shared" si="8"/>
        <v>24000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>
        <v>24000</v>
      </c>
      <c r="T128" s="13"/>
      <c r="U128" s="181">
        <v>1</v>
      </c>
      <c r="V128" s="180">
        <f t="shared" si="9"/>
        <v>0</v>
      </c>
    </row>
    <row r="129" spans="1:22" x14ac:dyDescent="0.25">
      <c r="A129" s="10">
        <f t="shared" si="6"/>
        <v>117</v>
      </c>
      <c r="B129" s="17">
        <f t="shared" si="7"/>
        <v>117</v>
      </c>
      <c r="C129" s="62" t="s">
        <v>94</v>
      </c>
      <c r="D129" s="18" t="s">
        <v>544</v>
      </c>
      <c r="E129" s="13">
        <f t="shared" si="8"/>
        <v>24000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>
        <v>24000</v>
      </c>
      <c r="T129" s="13"/>
      <c r="U129" s="181">
        <v>1</v>
      </c>
      <c r="V129" s="180">
        <f t="shared" si="9"/>
        <v>0</v>
      </c>
    </row>
    <row r="130" spans="1:22" x14ac:dyDescent="0.25">
      <c r="A130" s="10">
        <f t="shared" si="6"/>
        <v>118</v>
      </c>
      <c r="B130" s="17">
        <f t="shared" si="7"/>
        <v>118</v>
      </c>
      <c r="C130" s="62" t="s">
        <v>94</v>
      </c>
      <c r="D130" s="18" t="s">
        <v>251</v>
      </c>
      <c r="E130" s="13">
        <f>SUM(F130:T130)</f>
        <v>1182275.27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>
        <v>1170275.27</v>
      </c>
      <c r="S130" s="13">
        <v>12000</v>
      </c>
      <c r="T130" s="13"/>
      <c r="U130" s="153">
        <v>1</v>
      </c>
      <c r="V130" s="180">
        <f>+E130-R130-S130</f>
        <v>0</v>
      </c>
    </row>
    <row r="131" spans="1:22" x14ac:dyDescent="0.25">
      <c r="A131" s="10">
        <f t="shared" si="6"/>
        <v>119</v>
      </c>
      <c r="B131" s="17">
        <f t="shared" si="7"/>
        <v>119</v>
      </c>
      <c r="C131" s="62" t="s">
        <v>94</v>
      </c>
      <c r="D131" s="18" t="s">
        <v>252</v>
      </c>
      <c r="E131" s="13">
        <f>SUM(F131:T131)</f>
        <v>1178062.1200000001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>
        <v>1166062.1200000001</v>
      </c>
      <c r="S131" s="13">
        <v>12000</v>
      </c>
      <c r="T131" s="13"/>
      <c r="U131" s="153">
        <v>1</v>
      </c>
      <c r="V131" s="180">
        <f>+E131-R131-S131</f>
        <v>0</v>
      </c>
    </row>
    <row r="132" spans="1:22" x14ac:dyDescent="0.25">
      <c r="A132" s="10">
        <f t="shared" si="6"/>
        <v>120</v>
      </c>
      <c r="B132" s="17">
        <f t="shared" si="7"/>
        <v>120</v>
      </c>
      <c r="C132" s="62" t="s">
        <v>94</v>
      </c>
      <c r="D132" s="18" t="s">
        <v>253</v>
      </c>
      <c r="E132" s="13">
        <f>SUM(F132:T132)</f>
        <v>125146.44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>
        <v>101146.44</v>
      </c>
      <c r="S132" s="13">
        <v>24000</v>
      </c>
      <c r="T132" s="13"/>
      <c r="U132" s="153">
        <v>1</v>
      </c>
      <c r="V132" s="180">
        <f>+E132-R132-S132</f>
        <v>0</v>
      </c>
    </row>
    <row r="133" spans="1:22" x14ac:dyDescent="0.25">
      <c r="A133" s="10">
        <f t="shared" si="6"/>
        <v>121</v>
      </c>
      <c r="B133" s="17">
        <f t="shared" si="7"/>
        <v>121</v>
      </c>
      <c r="C133" s="62" t="s">
        <v>94</v>
      </c>
      <c r="D133" s="18" t="s">
        <v>402</v>
      </c>
      <c r="E133" s="13">
        <f t="shared" si="8"/>
        <v>124408.54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>
        <v>100408.54</v>
      </c>
      <c r="S133" s="13">
        <v>24000</v>
      </c>
      <c r="T133" s="13"/>
      <c r="U133" s="153">
        <v>1</v>
      </c>
      <c r="V133" s="180">
        <f t="shared" si="9"/>
        <v>0</v>
      </c>
    </row>
    <row r="134" spans="1:22" x14ac:dyDescent="0.25">
      <c r="A134" s="10">
        <f t="shared" si="6"/>
        <v>122</v>
      </c>
      <c r="B134" s="17">
        <f t="shared" si="7"/>
        <v>122</v>
      </c>
      <c r="C134" s="62" t="s">
        <v>94</v>
      </c>
      <c r="D134" s="18" t="s">
        <v>612</v>
      </c>
      <c r="E134" s="13">
        <f t="shared" si="8"/>
        <v>18944.419999999998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>
        <v>18944.419999999998</v>
      </c>
      <c r="S134" s="13"/>
      <c r="T134" s="13"/>
      <c r="U134" s="153"/>
      <c r="V134" s="180"/>
    </row>
    <row r="135" spans="1:22" x14ac:dyDescent="0.25">
      <c r="A135" s="10">
        <f t="shared" si="6"/>
        <v>123</v>
      </c>
      <c r="B135" s="17">
        <f t="shared" si="7"/>
        <v>123</v>
      </c>
      <c r="C135" s="62" t="s">
        <v>94</v>
      </c>
      <c r="D135" s="18" t="s">
        <v>222</v>
      </c>
      <c r="E135" s="13">
        <f t="shared" ref="E135:E136" si="10">SUM(F135:T135)</f>
        <v>253995.31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>
        <v>229995.31</v>
      </c>
      <c r="S135" s="13">
        <v>24000</v>
      </c>
      <c r="T135" s="13"/>
      <c r="U135" s="153">
        <v>1</v>
      </c>
      <c r="V135" s="180">
        <f t="shared" si="9"/>
        <v>0</v>
      </c>
    </row>
    <row r="136" spans="1:22" x14ac:dyDescent="0.25">
      <c r="A136" s="10">
        <f t="shared" si="6"/>
        <v>124</v>
      </c>
      <c r="B136" s="17">
        <f t="shared" si="7"/>
        <v>124</v>
      </c>
      <c r="C136" s="62" t="s">
        <v>94</v>
      </c>
      <c r="D136" s="18" t="s">
        <v>223</v>
      </c>
      <c r="E136" s="13">
        <f t="shared" si="10"/>
        <v>278945.83999999997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>
        <v>270945.83999999997</v>
      </c>
      <c r="S136" s="13">
        <v>8000</v>
      </c>
      <c r="T136" s="13"/>
      <c r="U136" s="153">
        <v>1</v>
      </c>
      <c r="V136" s="180">
        <f t="shared" si="9"/>
        <v>0</v>
      </c>
    </row>
    <row r="137" spans="1:22" x14ac:dyDescent="0.25">
      <c r="A137" s="10">
        <f t="shared" si="6"/>
        <v>125</v>
      </c>
      <c r="B137" s="17">
        <f t="shared" si="7"/>
        <v>125</v>
      </c>
      <c r="C137" s="62" t="s">
        <v>94</v>
      </c>
      <c r="D137" s="18" t="s">
        <v>224</v>
      </c>
      <c r="E137" s="13">
        <f t="shared" ref="E137:E386" si="11">SUM(F137:T137)</f>
        <v>452137.96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>
        <v>420137.96</v>
      </c>
      <c r="S137" s="13">
        <f>8000+24000</f>
        <v>32000</v>
      </c>
      <c r="T137" s="13"/>
      <c r="U137" s="153">
        <v>1</v>
      </c>
      <c r="V137" s="180">
        <f t="shared" si="9"/>
        <v>0</v>
      </c>
    </row>
    <row r="138" spans="1:22" x14ac:dyDescent="0.25">
      <c r="A138" s="10">
        <f t="shared" si="6"/>
        <v>126</v>
      </c>
      <c r="B138" s="17">
        <f t="shared" si="7"/>
        <v>126</v>
      </c>
      <c r="C138" s="62" t="s">
        <v>94</v>
      </c>
      <c r="D138" s="18" t="s">
        <v>225</v>
      </c>
      <c r="E138" s="13">
        <f t="shared" si="11"/>
        <v>218514.1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>
        <v>210514.1</v>
      </c>
      <c r="S138" s="13">
        <v>8000</v>
      </c>
      <c r="T138" s="13"/>
      <c r="U138" s="153">
        <v>1</v>
      </c>
      <c r="V138" s="180">
        <f t="shared" si="9"/>
        <v>0</v>
      </c>
    </row>
    <row r="139" spans="1:22" x14ac:dyDescent="0.25">
      <c r="A139" s="10">
        <f t="shared" si="6"/>
        <v>127</v>
      </c>
      <c r="B139" s="17">
        <f t="shared" si="7"/>
        <v>127</v>
      </c>
      <c r="C139" s="62" t="s">
        <v>94</v>
      </c>
      <c r="D139" s="18" t="s">
        <v>226</v>
      </c>
      <c r="E139" s="13">
        <f t="shared" si="11"/>
        <v>960875.90000000014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>
        <v>936875.90000000014</v>
      </c>
      <c r="S139" s="13">
        <v>24000</v>
      </c>
      <c r="T139" s="13"/>
      <c r="U139" s="153">
        <v>1</v>
      </c>
      <c r="V139" s="180">
        <f t="shared" si="9"/>
        <v>0</v>
      </c>
    </row>
    <row r="140" spans="1:22" x14ac:dyDescent="0.25">
      <c r="A140" s="10">
        <f t="shared" si="6"/>
        <v>128</v>
      </c>
      <c r="B140" s="17">
        <f t="shared" si="7"/>
        <v>128</v>
      </c>
      <c r="C140" s="62" t="s">
        <v>94</v>
      </c>
      <c r="D140" s="18" t="s">
        <v>227</v>
      </c>
      <c r="E140" s="13">
        <f t="shared" si="11"/>
        <v>1217591.97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>
        <v>1205591.97</v>
      </c>
      <c r="S140" s="13">
        <v>12000</v>
      </c>
      <c r="T140" s="13"/>
      <c r="U140" s="153">
        <v>1</v>
      </c>
      <c r="V140" s="180">
        <f t="shared" si="9"/>
        <v>0</v>
      </c>
    </row>
    <row r="141" spans="1:22" x14ac:dyDescent="0.25">
      <c r="A141" s="10">
        <f t="shared" si="6"/>
        <v>129</v>
      </c>
      <c r="B141" s="17">
        <f t="shared" si="7"/>
        <v>129</v>
      </c>
      <c r="C141" s="62" t="s">
        <v>94</v>
      </c>
      <c r="D141" s="18" t="s">
        <v>228</v>
      </c>
      <c r="E141" s="13">
        <f t="shared" si="11"/>
        <v>967772.2200000002</v>
      </c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>
        <v>955772.2200000002</v>
      </c>
      <c r="S141" s="13">
        <v>12000</v>
      </c>
      <c r="T141" s="13"/>
      <c r="U141" s="153">
        <v>1</v>
      </c>
      <c r="V141" s="180">
        <f t="shared" si="9"/>
        <v>0</v>
      </c>
    </row>
    <row r="142" spans="1:22" x14ac:dyDescent="0.25">
      <c r="A142" s="10">
        <f t="shared" si="6"/>
        <v>130</v>
      </c>
      <c r="B142" s="10">
        <f t="shared" si="7"/>
        <v>130</v>
      </c>
      <c r="C142" s="158" t="s">
        <v>94</v>
      </c>
      <c r="D142" s="11" t="s">
        <v>229</v>
      </c>
      <c r="E142" s="12">
        <f t="shared" si="11"/>
        <v>1355397.4700000002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>
        <v>1343397.4700000002</v>
      </c>
      <c r="S142" s="12">
        <v>12000</v>
      </c>
      <c r="T142" s="12"/>
      <c r="U142" s="153">
        <v>1</v>
      </c>
      <c r="V142" s="180">
        <f t="shared" si="9"/>
        <v>0</v>
      </c>
    </row>
    <row r="143" spans="1:22" x14ac:dyDescent="0.25">
      <c r="A143" s="10">
        <f t="shared" ref="A143:A206" si="12">+A142+1</f>
        <v>131</v>
      </c>
      <c r="B143" s="10">
        <f t="shared" ref="B143:B206" si="13">+B142+1</f>
        <v>131</v>
      </c>
      <c r="C143" s="158" t="s">
        <v>94</v>
      </c>
      <c r="D143" s="11" t="s">
        <v>230</v>
      </c>
      <c r="E143" s="12">
        <f t="shared" si="11"/>
        <v>158258.59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>
        <v>150258.59</v>
      </c>
      <c r="S143" s="12">
        <v>8000</v>
      </c>
      <c r="T143" s="12"/>
      <c r="U143" s="153">
        <v>1</v>
      </c>
      <c r="V143" s="180">
        <f t="shared" si="9"/>
        <v>0</v>
      </c>
    </row>
    <row r="144" spans="1:22" x14ac:dyDescent="0.25">
      <c r="A144" s="10">
        <f t="shared" si="12"/>
        <v>132</v>
      </c>
      <c r="B144" s="10">
        <f t="shared" si="13"/>
        <v>132</v>
      </c>
      <c r="C144" s="158" t="s">
        <v>94</v>
      </c>
      <c r="D144" s="11" t="s">
        <v>231</v>
      </c>
      <c r="E144" s="12">
        <f t="shared" si="11"/>
        <v>375445.14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>
        <v>367445.14</v>
      </c>
      <c r="S144" s="12">
        <v>8000</v>
      </c>
      <c r="T144" s="12"/>
      <c r="U144" s="153">
        <v>1</v>
      </c>
      <c r="V144" s="180">
        <f t="shared" si="9"/>
        <v>0</v>
      </c>
    </row>
    <row r="145" spans="1:22" x14ac:dyDescent="0.25">
      <c r="A145" s="10">
        <f t="shared" si="12"/>
        <v>133</v>
      </c>
      <c r="B145" s="10">
        <f t="shared" si="13"/>
        <v>133</v>
      </c>
      <c r="C145" s="158" t="s">
        <v>94</v>
      </c>
      <c r="D145" s="11" t="s">
        <v>232</v>
      </c>
      <c r="E145" s="12">
        <f t="shared" si="11"/>
        <v>486303.72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>
        <v>476303.72</v>
      </c>
      <c r="S145" s="12">
        <v>10000</v>
      </c>
      <c r="T145" s="12"/>
      <c r="U145" s="153">
        <v>1</v>
      </c>
      <c r="V145" s="180">
        <f t="shared" si="9"/>
        <v>0</v>
      </c>
    </row>
    <row r="146" spans="1:22" x14ac:dyDescent="0.25">
      <c r="A146" s="10">
        <f t="shared" si="12"/>
        <v>134</v>
      </c>
      <c r="B146" s="10">
        <f t="shared" si="13"/>
        <v>134</v>
      </c>
      <c r="C146" s="158" t="s">
        <v>94</v>
      </c>
      <c r="D146" s="11" t="s">
        <v>233</v>
      </c>
      <c r="E146" s="12">
        <f t="shared" si="11"/>
        <v>522136.27999999997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>
        <v>512136.27999999997</v>
      </c>
      <c r="S146" s="12">
        <v>10000</v>
      </c>
      <c r="T146" s="12"/>
      <c r="U146" s="153">
        <v>1</v>
      </c>
      <c r="V146" s="180">
        <f t="shared" si="9"/>
        <v>0</v>
      </c>
    </row>
    <row r="147" spans="1:22" x14ac:dyDescent="0.25">
      <c r="A147" s="10">
        <f t="shared" si="12"/>
        <v>135</v>
      </c>
      <c r="B147" s="10">
        <f t="shared" si="13"/>
        <v>135</v>
      </c>
      <c r="C147" s="158" t="s">
        <v>94</v>
      </c>
      <c r="D147" s="11" t="s">
        <v>234</v>
      </c>
      <c r="E147" s="12">
        <f t="shared" si="11"/>
        <v>1162265.5899999999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>
        <v>1128265.5899999999</v>
      </c>
      <c r="S147" s="12">
        <v>34000</v>
      </c>
      <c r="T147" s="12"/>
      <c r="U147" s="153">
        <v>1</v>
      </c>
      <c r="V147" s="180">
        <f t="shared" si="9"/>
        <v>0</v>
      </c>
    </row>
    <row r="148" spans="1:22" x14ac:dyDescent="0.25">
      <c r="A148" s="10">
        <f t="shared" si="12"/>
        <v>136</v>
      </c>
      <c r="B148" s="10">
        <f t="shared" si="13"/>
        <v>136</v>
      </c>
      <c r="C148" s="158" t="s">
        <v>94</v>
      </c>
      <c r="D148" s="11" t="s">
        <v>387</v>
      </c>
      <c r="E148" s="12">
        <f t="shared" si="11"/>
        <v>1514631.2099999997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>
        <v>1490631.2099999997</v>
      </c>
      <c r="S148" s="12">
        <v>24000</v>
      </c>
      <c r="T148" s="12"/>
      <c r="U148" s="153">
        <v>1</v>
      </c>
      <c r="V148" s="180">
        <f t="shared" si="9"/>
        <v>0</v>
      </c>
    </row>
    <row r="149" spans="1:22" x14ac:dyDescent="0.25">
      <c r="A149" s="10">
        <f t="shared" si="12"/>
        <v>137</v>
      </c>
      <c r="B149" s="10">
        <f t="shared" si="13"/>
        <v>137</v>
      </c>
      <c r="C149" s="158" t="s">
        <v>94</v>
      </c>
      <c r="D149" s="11" t="s">
        <v>388</v>
      </c>
      <c r="E149" s="12">
        <f t="shared" si="11"/>
        <v>576659.44999999995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>
        <v>552659.44999999995</v>
      </c>
      <c r="S149" s="12">
        <v>24000</v>
      </c>
      <c r="T149" s="12"/>
      <c r="U149" s="153">
        <v>1</v>
      </c>
      <c r="V149" s="180">
        <f t="shared" si="9"/>
        <v>0</v>
      </c>
    </row>
    <row r="150" spans="1:22" x14ac:dyDescent="0.25">
      <c r="A150" s="17">
        <f t="shared" si="12"/>
        <v>138</v>
      </c>
      <c r="B150" s="17">
        <f t="shared" si="13"/>
        <v>138</v>
      </c>
      <c r="C150" s="62" t="s">
        <v>94</v>
      </c>
      <c r="D150" s="62" t="s">
        <v>545</v>
      </c>
      <c r="E150" s="13">
        <f t="shared" si="11"/>
        <v>48000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>
        <v>0</v>
      </c>
      <c r="S150" s="13">
        <v>48000</v>
      </c>
      <c r="T150" s="12"/>
      <c r="U150" s="181">
        <v>1</v>
      </c>
      <c r="V150" s="180">
        <f t="shared" si="9"/>
        <v>0</v>
      </c>
    </row>
    <row r="151" spans="1:22" x14ac:dyDescent="0.25">
      <c r="A151" s="17">
        <f t="shared" si="12"/>
        <v>139</v>
      </c>
      <c r="B151" s="17">
        <f t="shared" si="13"/>
        <v>139</v>
      </c>
      <c r="C151" s="62" t="s">
        <v>94</v>
      </c>
      <c r="D151" s="62" t="s">
        <v>546</v>
      </c>
      <c r="E151" s="13">
        <f t="shared" si="11"/>
        <v>24000</v>
      </c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>
        <v>24000</v>
      </c>
      <c r="T151" s="12"/>
      <c r="U151" s="181">
        <v>1</v>
      </c>
      <c r="V151" s="180">
        <f t="shared" si="9"/>
        <v>0</v>
      </c>
    </row>
    <row r="152" spans="1:22" x14ac:dyDescent="0.25">
      <c r="A152" s="17">
        <f t="shared" si="12"/>
        <v>140</v>
      </c>
      <c r="B152" s="17">
        <f t="shared" si="13"/>
        <v>140</v>
      </c>
      <c r="C152" s="62" t="s">
        <v>94</v>
      </c>
      <c r="D152" s="62" t="s">
        <v>594</v>
      </c>
      <c r="E152" s="13">
        <f t="shared" si="11"/>
        <v>19820.849999999999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64">
        <v>19820.849999999999</v>
      </c>
      <c r="S152" s="13"/>
      <c r="T152" s="12"/>
      <c r="U152" s="181"/>
      <c r="V152" s="180"/>
    </row>
    <row r="153" spans="1:22" x14ac:dyDescent="0.25">
      <c r="A153" s="17">
        <f t="shared" si="12"/>
        <v>141</v>
      </c>
      <c r="B153" s="17">
        <f t="shared" si="13"/>
        <v>141</v>
      </c>
      <c r="C153" s="62" t="s">
        <v>94</v>
      </c>
      <c r="D153" s="62" t="s">
        <v>1163</v>
      </c>
      <c r="E153" s="13">
        <f t="shared" si="11"/>
        <v>24000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>
        <v>24000</v>
      </c>
      <c r="T153" s="12"/>
      <c r="U153" s="181">
        <v>1</v>
      </c>
      <c r="V153" s="180">
        <f t="shared" si="9"/>
        <v>0</v>
      </c>
    </row>
    <row r="154" spans="1:22" x14ac:dyDescent="0.25">
      <c r="A154" s="17">
        <f t="shared" si="12"/>
        <v>142</v>
      </c>
      <c r="B154" s="17">
        <f t="shared" si="13"/>
        <v>142</v>
      </c>
      <c r="C154" s="62" t="s">
        <v>94</v>
      </c>
      <c r="D154" s="62" t="s">
        <v>1164</v>
      </c>
      <c r="E154" s="13">
        <f t="shared" si="11"/>
        <v>18624.53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>
        <v>18624.53</v>
      </c>
      <c r="S154" s="13"/>
      <c r="T154" s="12"/>
      <c r="U154" s="181"/>
      <c r="V154" s="180"/>
    </row>
    <row r="155" spans="1:22" x14ac:dyDescent="0.25">
      <c r="A155" s="17">
        <f t="shared" si="12"/>
        <v>143</v>
      </c>
      <c r="B155" s="17">
        <f t="shared" si="13"/>
        <v>143</v>
      </c>
      <c r="C155" s="62" t="s">
        <v>94</v>
      </c>
      <c r="D155" s="62" t="s">
        <v>595</v>
      </c>
      <c r="E155" s="13">
        <f t="shared" si="11"/>
        <v>19133.82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>
        <v>19133.82</v>
      </c>
      <c r="S155" s="13"/>
      <c r="T155" s="12"/>
      <c r="U155" s="181"/>
      <c r="V155" s="180"/>
    </row>
    <row r="156" spans="1:22" x14ac:dyDescent="0.25">
      <c r="A156" s="17">
        <f t="shared" si="12"/>
        <v>144</v>
      </c>
      <c r="B156" s="17">
        <f t="shared" si="13"/>
        <v>144</v>
      </c>
      <c r="C156" s="62" t="s">
        <v>94</v>
      </c>
      <c r="D156" s="62" t="s">
        <v>1165</v>
      </c>
      <c r="E156" s="13">
        <f t="shared" si="11"/>
        <v>24000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>
        <v>24000</v>
      </c>
      <c r="T156" s="12"/>
      <c r="U156" s="181">
        <v>1</v>
      </c>
      <c r="V156" s="180">
        <f t="shared" si="9"/>
        <v>0</v>
      </c>
    </row>
    <row r="157" spans="1:22" x14ac:dyDescent="0.25">
      <c r="A157" s="17">
        <f t="shared" si="12"/>
        <v>145</v>
      </c>
      <c r="B157" s="17">
        <f t="shared" si="13"/>
        <v>145</v>
      </c>
      <c r="C157" s="62" t="s">
        <v>94</v>
      </c>
      <c r="D157" s="62" t="s">
        <v>1166</v>
      </c>
      <c r="E157" s="13">
        <f t="shared" si="11"/>
        <v>24000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>
        <v>24000</v>
      </c>
      <c r="T157" s="12"/>
      <c r="U157" s="181">
        <v>1</v>
      </c>
      <c r="V157" s="180">
        <f t="shared" si="9"/>
        <v>0</v>
      </c>
    </row>
    <row r="158" spans="1:22" x14ac:dyDescent="0.25">
      <c r="A158" s="17">
        <f t="shared" si="12"/>
        <v>146</v>
      </c>
      <c r="B158" s="17">
        <f t="shared" si="13"/>
        <v>146</v>
      </c>
      <c r="C158" s="62" t="s">
        <v>94</v>
      </c>
      <c r="D158" s="62" t="s">
        <v>1167</v>
      </c>
      <c r="E158" s="13">
        <f t="shared" si="11"/>
        <v>24000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>
        <v>24000</v>
      </c>
      <c r="T158" s="12"/>
      <c r="U158" s="181">
        <v>1</v>
      </c>
      <c r="V158" s="180">
        <f t="shared" si="9"/>
        <v>0</v>
      </c>
    </row>
    <row r="159" spans="1:22" x14ac:dyDescent="0.25">
      <c r="A159" s="17">
        <f t="shared" si="12"/>
        <v>147</v>
      </c>
      <c r="B159" s="17">
        <f t="shared" si="13"/>
        <v>147</v>
      </c>
      <c r="C159" s="62" t="s">
        <v>94</v>
      </c>
      <c r="D159" s="62" t="s">
        <v>1168</v>
      </c>
      <c r="E159" s="13">
        <f t="shared" si="11"/>
        <v>24000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>
        <v>24000</v>
      </c>
      <c r="T159" s="12"/>
      <c r="U159" s="181">
        <v>1</v>
      </c>
      <c r="V159" s="180">
        <f t="shared" si="9"/>
        <v>0</v>
      </c>
    </row>
    <row r="160" spans="1:22" x14ac:dyDescent="0.25">
      <c r="A160" s="17">
        <f t="shared" si="12"/>
        <v>148</v>
      </c>
      <c r="B160" s="17">
        <f t="shared" si="13"/>
        <v>148</v>
      </c>
      <c r="C160" s="62" t="s">
        <v>94</v>
      </c>
      <c r="D160" s="62" t="s">
        <v>547</v>
      </c>
      <c r="E160" s="13">
        <f t="shared" si="11"/>
        <v>24000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>
        <v>24000</v>
      </c>
      <c r="T160" s="12"/>
      <c r="U160" s="181">
        <v>1</v>
      </c>
      <c r="V160" s="180">
        <f t="shared" si="9"/>
        <v>0</v>
      </c>
    </row>
    <row r="161" spans="1:22" x14ac:dyDescent="0.25">
      <c r="A161" s="17">
        <f t="shared" si="12"/>
        <v>149</v>
      </c>
      <c r="B161" s="17">
        <f t="shared" si="13"/>
        <v>149</v>
      </c>
      <c r="C161" s="62" t="s">
        <v>94</v>
      </c>
      <c r="D161" s="18" t="s">
        <v>389</v>
      </c>
      <c r="E161" s="13">
        <f t="shared" si="11"/>
        <v>819121.35000000021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>
        <v>795121.35000000021</v>
      </c>
      <c r="S161" s="13">
        <v>24000</v>
      </c>
      <c r="T161" s="12"/>
      <c r="U161" s="153">
        <v>1</v>
      </c>
      <c r="V161" s="180">
        <f t="shared" si="9"/>
        <v>0</v>
      </c>
    </row>
    <row r="162" spans="1:22" x14ac:dyDescent="0.25">
      <c r="A162" s="17">
        <f t="shared" si="12"/>
        <v>150</v>
      </c>
      <c r="B162" s="17">
        <f t="shared" si="13"/>
        <v>150</v>
      </c>
      <c r="C162" s="62" t="s">
        <v>94</v>
      </c>
      <c r="D162" s="18" t="s">
        <v>390</v>
      </c>
      <c r="E162" s="13">
        <f t="shared" si="11"/>
        <v>573364.16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>
        <v>563364.16</v>
      </c>
      <c r="S162" s="13">
        <v>10000</v>
      </c>
      <c r="T162" s="12"/>
      <c r="U162" s="153">
        <v>1</v>
      </c>
      <c r="V162" s="180">
        <f t="shared" si="9"/>
        <v>0</v>
      </c>
    </row>
    <row r="163" spans="1:22" x14ac:dyDescent="0.25">
      <c r="A163" s="17">
        <f t="shared" si="12"/>
        <v>151</v>
      </c>
      <c r="B163" s="17">
        <f t="shared" si="13"/>
        <v>151</v>
      </c>
      <c r="C163" s="62" t="s">
        <v>94</v>
      </c>
      <c r="D163" s="18" t="s">
        <v>391</v>
      </c>
      <c r="E163" s="13">
        <f t="shared" si="11"/>
        <v>523999.34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>
        <v>513999.34</v>
      </c>
      <c r="S163" s="13">
        <v>10000</v>
      </c>
      <c r="T163" s="12"/>
      <c r="U163" s="153">
        <v>1</v>
      </c>
      <c r="V163" s="180">
        <f t="shared" si="9"/>
        <v>0</v>
      </c>
    </row>
    <row r="164" spans="1:22" x14ac:dyDescent="0.25">
      <c r="A164" s="17">
        <f t="shared" si="12"/>
        <v>152</v>
      </c>
      <c r="B164" s="17">
        <f t="shared" si="13"/>
        <v>152</v>
      </c>
      <c r="C164" s="62" t="s">
        <v>94</v>
      </c>
      <c r="D164" s="18" t="s">
        <v>1169</v>
      </c>
      <c r="E164" s="13">
        <f t="shared" si="11"/>
        <v>17910.900000000001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>
        <v>17910.900000000001</v>
      </c>
      <c r="S164" s="13"/>
      <c r="T164" s="12"/>
      <c r="U164" s="153"/>
      <c r="V164" s="180"/>
    </row>
    <row r="165" spans="1:22" x14ac:dyDescent="0.25">
      <c r="A165" s="17">
        <f t="shared" si="12"/>
        <v>153</v>
      </c>
      <c r="B165" s="17">
        <f t="shared" si="13"/>
        <v>153</v>
      </c>
      <c r="C165" s="62" t="s">
        <v>94</v>
      </c>
      <c r="D165" s="18" t="s">
        <v>1170</v>
      </c>
      <c r="E165" s="13">
        <f t="shared" si="11"/>
        <v>19807.39</v>
      </c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>
        <v>19807.39</v>
      </c>
      <c r="S165" s="13"/>
      <c r="T165" s="12"/>
      <c r="U165" s="153"/>
      <c r="V165" s="180"/>
    </row>
    <row r="166" spans="1:22" x14ac:dyDescent="0.25">
      <c r="A166" s="17">
        <f t="shared" si="12"/>
        <v>154</v>
      </c>
      <c r="B166" s="17">
        <f t="shared" si="13"/>
        <v>154</v>
      </c>
      <c r="C166" s="62" t="s">
        <v>94</v>
      </c>
      <c r="D166" s="18" t="s">
        <v>1171</v>
      </c>
      <c r="E166" s="13">
        <f t="shared" si="11"/>
        <v>19527.990000000002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>
        <v>19527.990000000002</v>
      </c>
      <c r="S166" s="13"/>
      <c r="T166" s="12"/>
      <c r="U166" s="153"/>
      <c r="V166" s="180"/>
    </row>
    <row r="167" spans="1:22" x14ac:dyDescent="0.25">
      <c r="A167" s="17">
        <f t="shared" si="12"/>
        <v>155</v>
      </c>
      <c r="B167" s="17">
        <f t="shared" si="13"/>
        <v>155</v>
      </c>
      <c r="C167" s="62" t="s">
        <v>94</v>
      </c>
      <c r="D167" s="18" t="s">
        <v>1172</v>
      </c>
      <c r="E167" s="13">
        <f t="shared" si="11"/>
        <v>17934.78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>
        <v>17934.78</v>
      </c>
      <c r="S167" s="13"/>
      <c r="T167" s="12"/>
      <c r="U167" s="153"/>
      <c r="V167" s="180"/>
    </row>
    <row r="168" spans="1:22" x14ac:dyDescent="0.25">
      <c r="A168" s="17">
        <f t="shared" si="12"/>
        <v>156</v>
      </c>
      <c r="B168" s="17">
        <f t="shared" si="13"/>
        <v>156</v>
      </c>
      <c r="C168" s="62" t="s">
        <v>94</v>
      </c>
      <c r="D168" s="18" t="s">
        <v>1173</v>
      </c>
      <c r="E168" s="13">
        <f t="shared" si="11"/>
        <v>18290.740000000002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>
        <v>18290.740000000002</v>
      </c>
      <c r="S168" s="13"/>
      <c r="T168" s="12"/>
      <c r="U168" s="153"/>
      <c r="V168" s="180"/>
    </row>
    <row r="169" spans="1:22" x14ac:dyDescent="0.25">
      <c r="A169" s="17">
        <f t="shared" si="12"/>
        <v>157</v>
      </c>
      <c r="B169" s="17">
        <f t="shared" si="13"/>
        <v>157</v>
      </c>
      <c r="C169" s="62" t="s">
        <v>94</v>
      </c>
      <c r="D169" s="18" t="s">
        <v>1174</v>
      </c>
      <c r="E169" s="13">
        <f t="shared" si="11"/>
        <v>2111.42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>
        <v>2111.42</v>
      </c>
      <c r="S169" s="13"/>
      <c r="T169" s="12"/>
      <c r="U169" s="153"/>
      <c r="V169" s="180"/>
    </row>
    <row r="170" spans="1:22" x14ac:dyDescent="0.25">
      <c r="A170" s="17">
        <f t="shared" si="12"/>
        <v>158</v>
      </c>
      <c r="B170" s="17">
        <f t="shared" si="13"/>
        <v>158</v>
      </c>
      <c r="C170" s="62" t="s">
        <v>94</v>
      </c>
      <c r="D170" s="18" t="s">
        <v>1175</v>
      </c>
      <c r="E170" s="13">
        <f t="shared" si="11"/>
        <v>2111.84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>
        <v>2111.84</v>
      </c>
      <c r="S170" s="13"/>
      <c r="T170" s="12"/>
      <c r="U170" s="153"/>
      <c r="V170" s="180"/>
    </row>
    <row r="171" spans="1:22" x14ac:dyDescent="0.25">
      <c r="A171" s="17">
        <f t="shared" si="12"/>
        <v>159</v>
      </c>
      <c r="B171" s="17">
        <f t="shared" si="13"/>
        <v>159</v>
      </c>
      <c r="C171" s="62" t="s">
        <v>94</v>
      </c>
      <c r="D171" s="18" t="s">
        <v>392</v>
      </c>
      <c r="E171" s="13">
        <f t="shared" si="11"/>
        <v>550735.69999999995</v>
      </c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>
        <v>518735.7</v>
      </c>
      <c r="S171" s="13">
        <v>32000</v>
      </c>
      <c r="T171" s="12"/>
      <c r="U171" s="153">
        <v>1</v>
      </c>
      <c r="V171" s="180">
        <f t="shared" si="9"/>
        <v>-5.8207660913467407E-11</v>
      </c>
    </row>
    <row r="172" spans="1:22" x14ac:dyDescent="0.25">
      <c r="A172" s="17">
        <f t="shared" si="12"/>
        <v>160</v>
      </c>
      <c r="B172" s="17">
        <f t="shared" si="13"/>
        <v>160</v>
      </c>
      <c r="C172" s="62" t="s">
        <v>94</v>
      </c>
      <c r="D172" s="18" t="s">
        <v>393</v>
      </c>
      <c r="E172" s="13">
        <f t="shared" si="11"/>
        <v>635450.6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>
        <v>625450.6</v>
      </c>
      <c r="S172" s="13">
        <v>10000</v>
      </c>
      <c r="T172" s="12"/>
      <c r="U172" s="153">
        <v>1</v>
      </c>
      <c r="V172" s="180">
        <f t="shared" si="9"/>
        <v>0</v>
      </c>
    </row>
    <row r="173" spans="1:22" x14ac:dyDescent="0.25">
      <c r="A173" s="17">
        <f t="shared" si="12"/>
        <v>161</v>
      </c>
      <c r="B173" s="17">
        <f t="shared" si="13"/>
        <v>161</v>
      </c>
      <c r="C173" s="62" t="s">
        <v>94</v>
      </c>
      <c r="D173" s="18" t="s">
        <v>394</v>
      </c>
      <c r="E173" s="13">
        <f t="shared" si="11"/>
        <v>486902.27999999991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>
        <v>476902.27999999991</v>
      </c>
      <c r="S173" s="13">
        <v>10000</v>
      </c>
      <c r="T173" s="12"/>
      <c r="U173" s="153">
        <v>1</v>
      </c>
      <c r="V173" s="180">
        <f t="shared" si="9"/>
        <v>0</v>
      </c>
    </row>
    <row r="174" spans="1:22" x14ac:dyDescent="0.25">
      <c r="A174" s="17">
        <f t="shared" si="12"/>
        <v>162</v>
      </c>
      <c r="B174" s="17">
        <f t="shared" si="13"/>
        <v>162</v>
      </c>
      <c r="C174" s="62" t="s">
        <v>94</v>
      </c>
      <c r="D174" s="18" t="s">
        <v>243</v>
      </c>
      <c r="E174" s="13">
        <f t="shared" si="11"/>
        <v>1413561.83</v>
      </c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>
        <v>1379561.83</v>
      </c>
      <c r="S174" s="13">
        <v>34000</v>
      </c>
      <c r="T174" s="12"/>
      <c r="U174" s="153">
        <v>1</v>
      </c>
      <c r="V174" s="180">
        <f t="shared" si="9"/>
        <v>0</v>
      </c>
    </row>
    <row r="175" spans="1:22" x14ac:dyDescent="0.25">
      <c r="A175" s="17">
        <f t="shared" si="12"/>
        <v>163</v>
      </c>
      <c r="B175" s="17">
        <f t="shared" si="13"/>
        <v>163</v>
      </c>
      <c r="C175" s="62" t="s">
        <v>94</v>
      </c>
      <c r="D175" s="18" t="s">
        <v>395</v>
      </c>
      <c r="E175" s="13">
        <f t="shared" si="11"/>
        <v>512696.55000000005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>
        <v>502696.55000000005</v>
      </c>
      <c r="S175" s="13">
        <v>10000</v>
      </c>
      <c r="T175" s="12"/>
      <c r="U175" s="153">
        <v>1</v>
      </c>
      <c r="V175" s="180">
        <f t="shared" si="9"/>
        <v>0</v>
      </c>
    </row>
    <row r="176" spans="1:22" x14ac:dyDescent="0.25">
      <c r="A176" s="17">
        <f t="shared" si="12"/>
        <v>164</v>
      </c>
      <c r="B176" s="17">
        <f t="shared" si="13"/>
        <v>164</v>
      </c>
      <c r="C176" s="62" t="s">
        <v>94</v>
      </c>
      <c r="D176" s="62" t="s">
        <v>1176</v>
      </c>
      <c r="E176" s="13">
        <f t="shared" si="11"/>
        <v>17948.03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>
        <v>17948.03</v>
      </c>
      <c r="S176" s="13"/>
      <c r="T176" s="12"/>
      <c r="U176" s="153"/>
      <c r="V176" s="180"/>
    </row>
    <row r="177" spans="1:22" x14ac:dyDescent="0.25">
      <c r="A177" s="17">
        <f t="shared" si="12"/>
        <v>165</v>
      </c>
      <c r="B177" s="17">
        <f t="shared" si="13"/>
        <v>165</v>
      </c>
      <c r="C177" s="62" t="s">
        <v>94</v>
      </c>
      <c r="D177" s="18" t="s">
        <v>591</v>
      </c>
      <c r="E177" s="13">
        <f t="shared" si="11"/>
        <v>18768.54</v>
      </c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>
        <v>18768.54</v>
      </c>
      <c r="S177" s="13"/>
      <c r="T177" s="12"/>
      <c r="U177" s="153"/>
      <c r="V177" s="180"/>
    </row>
    <row r="178" spans="1:22" x14ac:dyDescent="0.25">
      <c r="A178" s="17">
        <f t="shared" si="12"/>
        <v>166</v>
      </c>
      <c r="B178" s="17">
        <f t="shared" si="13"/>
        <v>166</v>
      </c>
      <c r="C178" s="62" t="s">
        <v>94</v>
      </c>
      <c r="D178" s="18" t="s">
        <v>592</v>
      </c>
      <c r="E178" s="13">
        <f t="shared" si="11"/>
        <v>18890.400000000001</v>
      </c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64">
        <v>18890.400000000001</v>
      </c>
      <c r="S178" s="13"/>
      <c r="T178" s="12"/>
      <c r="U178" s="153"/>
      <c r="V178" s="180"/>
    </row>
    <row r="179" spans="1:22" x14ac:dyDescent="0.25">
      <c r="A179" s="17">
        <f t="shared" si="12"/>
        <v>167</v>
      </c>
      <c r="B179" s="17">
        <f t="shared" si="13"/>
        <v>167</v>
      </c>
      <c r="C179" s="62" t="s">
        <v>94</v>
      </c>
      <c r="D179" s="18" t="s">
        <v>245</v>
      </c>
      <c r="E179" s="13">
        <f t="shared" si="11"/>
        <v>951248.59999999986</v>
      </c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>
        <v>903248.59999999986</v>
      </c>
      <c r="S179" s="13">
        <v>48000</v>
      </c>
      <c r="T179" s="12"/>
      <c r="U179" s="153">
        <v>1</v>
      </c>
      <c r="V179" s="180">
        <f t="shared" si="9"/>
        <v>0</v>
      </c>
    </row>
    <row r="180" spans="1:22" x14ac:dyDescent="0.25">
      <c r="A180" s="17">
        <f t="shared" si="12"/>
        <v>168</v>
      </c>
      <c r="B180" s="17">
        <f t="shared" si="13"/>
        <v>168</v>
      </c>
      <c r="C180" s="62" t="s">
        <v>94</v>
      </c>
      <c r="D180" s="62" t="s">
        <v>593</v>
      </c>
      <c r="E180" s="13">
        <f t="shared" si="11"/>
        <v>18826.990000000002</v>
      </c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64">
        <v>18826.990000000002</v>
      </c>
      <c r="S180" s="13"/>
      <c r="T180" s="12"/>
      <c r="U180" s="153"/>
      <c r="V180" s="180"/>
    </row>
    <row r="181" spans="1:22" x14ac:dyDescent="0.25">
      <c r="A181" s="17">
        <f t="shared" si="12"/>
        <v>169</v>
      </c>
      <c r="B181" s="17">
        <f t="shared" si="13"/>
        <v>169</v>
      </c>
      <c r="C181" s="62" t="s">
        <v>94</v>
      </c>
      <c r="D181" s="18" t="s">
        <v>396</v>
      </c>
      <c r="E181" s="13">
        <f t="shared" si="11"/>
        <v>266552.34999999998</v>
      </c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>
        <v>258552.34999999998</v>
      </c>
      <c r="S181" s="13">
        <f>8000</f>
        <v>8000</v>
      </c>
      <c r="T181" s="12"/>
      <c r="U181" s="153">
        <v>1</v>
      </c>
      <c r="V181" s="180">
        <f t="shared" si="9"/>
        <v>0</v>
      </c>
    </row>
    <row r="182" spans="1:22" x14ac:dyDescent="0.25">
      <c r="A182" s="17">
        <f t="shared" si="12"/>
        <v>170</v>
      </c>
      <c r="B182" s="17">
        <f t="shared" si="13"/>
        <v>170</v>
      </c>
      <c r="C182" s="62" t="s">
        <v>94</v>
      </c>
      <c r="D182" s="18" t="s">
        <v>1141</v>
      </c>
      <c r="E182" s="13">
        <f t="shared" si="11"/>
        <v>73214.666552932409</v>
      </c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>
        <v>73214.666552932409</v>
      </c>
      <c r="S182" s="182"/>
      <c r="T182" s="12"/>
      <c r="U182" s="153"/>
      <c r="V182" s="180"/>
    </row>
    <row r="183" spans="1:22" x14ac:dyDescent="0.25">
      <c r="A183" s="17">
        <f t="shared" si="12"/>
        <v>171</v>
      </c>
      <c r="B183" s="17">
        <f t="shared" si="13"/>
        <v>171</v>
      </c>
      <c r="C183" s="62" t="s">
        <v>94</v>
      </c>
      <c r="D183" s="18" t="s">
        <v>397</v>
      </c>
      <c r="E183" s="13">
        <f t="shared" si="11"/>
        <v>1612207.31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>
        <v>1588207.31</v>
      </c>
      <c r="S183" s="13">
        <v>24000</v>
      </c>
      <c r="T183" s="12"/>
      <c r="U183" s="153">
        <v>1</v>
      </c>
      <c r="V183" s="180">
        <f t="shared" si="9"/>
        <v>0</v>
      </c>
    </row>
    <row r="184" spans="1:22" x14ac:dyDescent="0.25">
      <c r="A184" s="17">
        <f t="shared" si="12"/>
        <v>172</v>
      </c>
      <c r="B184" s="17">
        <f t="shared" si="13"/>
        <v>172</v>
      </c>
      <c r="C184" s="62" t="s">
        <v>94</v>
      </c>
      <c r="D184" s="18" t="s">
        <v>398</v>
      </c>
      <c r="E184" s="13">
        <f t="shared" si="11"/>
        <v>1234956.9000000001</v>
      </c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>
        <v>1210956.9000000001</v>
      </c>
      <c r="S184" s="13">
        <v>24000</v>
      </c>
      <c r="T184" s="12"/>
      <c r="U184" s="153">
        <v>1</v>
      </c>
      <c r="V184" s="180">
        <f t="shared" si="9"/>
        <v>0</v>
      </c>
    </row>
    <row r="185" spans="1:22" x14ac:dyDescent="0.25">
      <c r="A185" s="17">
        <f t="shared" si="12"/>
        <v>173</v>
      </c>
      <c r="B185" s="17">
        <f t="shared" si="13"/>
        <v>173</v>
      </c>
      <c r="C185" s="62" t="s">
        <v>94</v>
      </c>
      <c r="D185" s="18" t="s">
        <v>248</v>
      </c>
      <c r="E185" s="13">
        <f t="shared" si="11"/>
        <v>536165.37</v>
      </c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>
        <v>488165.37</v>
      </c>
      <c r="S185" s="13">
        <v>48000</v>
      </c>
      <c r="T185" s="12"/>
      <c r="U185" s="153">
        <v>1</v>
      </c>
      <c r="V185" s="180">
        <f t="shared" si="9"/>
        <v>0</v>
      </c>
    </row>
    <row r="186" spans="1:22" x14ac:dyDescent="0.25">
      <c r="A186" s="17">
        <f t="shared" si="12"/>
        <v>174</v>
      </c>
      <c r="B186" s="17">
        <f t="shared" si="13"/>
        <v>174</v>
      </c>
      <c r="C186" s="62" t="s">
        <v>94</v>
      </c>
      <c r="D186" s="18" t="s">
        <v>249</v>
      </c>
      <c r="E186" s="13">
        <f t="shared" si="11"/>
        <v>810630.17</v>
      </c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>
        <v>762630.17</v>
      </c>
      <c r="S186" s="13">
        <v>48000</v>
      </c>
      <c r="T186" s="12"/>
      <c r="U186" s="153">
        <v>1</v>
      </c>
      <c r="V186" s="180">
        <f t="shared" si="9"/>
        <v>0</v>
      </c>
    </row>
    <row r="187" spans="1:22" x14ac:dyDescent="0.25">
      <c r="A187" s="17">
        <f t="shared" si="12"/>
        <v>175</v>
      </c>
      <c r="B187" s="17">
        <f t="shared" si="13"/>
        <v>175</v>
      </c>
      <c r="C187" s="62" t="s">
        <v>94</v>
      </c>
      <c r="D187" s="18" t="s">
        <v>399</v>
      </c>
      <c r="E187" s="13">
        <f t="shared" si="11"/>
        <v>841259.35</v>
      </c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>
        <v>831259.35</v>
      </c>
      <c r="S187" s="13">
        <v>10000</v>
      </c>
      <c r="T187" s="12"/>
      <c r="U187" s="153">
        <v>1</v>
      </c>
      <c r="V187" s="180">
        <f t="shared" si="9"/>
        <v>0</v>
      </c>
    </row>
    <row r="188" spans="1:22" x14ac:dyDescent="0.25">
      <c r="A188" s="17">
        <f t="shared" si="12"/>
        <v>176</v>
      </c>
      <c r="B188" s="17">
        <f t="shared" si="13"/>
        <v>176</v>
      </c>
      <c r="C188" s="62" t="s">
        <v>94</v>
      </c>
      <c r="D188" s="18" t="s">
        <v>400</v>
      </c>
      <c r="E188" s="13">
        <f t="shared" si="11"/>
        <v>486381.39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>
        <v>476381.39</v>
      </c>
      <c r="S188" s="13">
        <v>10000</v>
      </c>
      <c r="T188" s="12"/>
      <c r="U188" s="153">
        <v>1</v>
      </c>
      <c r="V188" s="180">
        <f t="shared" si="9"/>
        <v>0</v>
      </c>
    </row>
    <row r="189" spans="1:22" x14ac:dyDescent="0.25">
      <c r="A189" s="17">
        <f t="shared" si="12"/>
        <v>177</v>
      </c>
      <c r="B189" s="17">
        <f t="shared" si="13"/>
        <v>177</v>
      </c>
      <c r="C189" s="62" t="s">
        <v>94</v>
      </c>
      <c r="D189" s="18" t="s">
        <v>235</v>
      </c>
      <c r="E189" s="13">
        <f t="shared" si="11"/>
        <v>287836.49</v>
      </c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>
        <v>263836.49</v>
      </c>
      <c r="S189" s="13">
        <v>24000</v>
      </c>
      <c r="T189" s="12"/>
      <c r="U189" s="153">
        <v>1</v>
      </c>
      <c r="V189" s="180">
        <f t="shared" si="9"/>
        <v>0</v>
      </c>
    </row>
    <row r="190" spans="1:22" x14ac:dyDescent="0.25">
      <c r="A190" s="17">
        <f t="shared" si="12"/>
        <v>178</v>
      </c>
      <c r="B190" s="17">
        <f t="shared" si="13"/>
        <v>178</v>
      </c>
      <c r="C190" s="62" t="s">
        <v>94</v>
      </c>
      <c r="D190" s="18" t="s">
        <v>236</v>
      </c>
      <c r="E190" s="13">
        <f t="shared" si="11"/>
        <v>407307.97</v>
      </c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>
        <v>399307.97</v>
      </c>
      <c r="S190" s="13">
        <v>8000</v>
      </c>
      <c r="T190" s="12"/>
      <c r="U190" s="153">
        <v>1</v>
      </c>
      <c r="V190" s="180">
        <f t="shared" si="9"/>
        <v>0</v>
      </c>
    </row>
    <row r="191" spans="1:22" x14ac:dyDescent="0.25">
      <c r="A191" s="17">
        <f t="shared" si="12"/>
        <v>179</v>
      </c>
      <c r="B191" s="17">
        <f t="shared" si="13"/>
        <v>179</v>
      </c>
      <c r="C191" s="62" t="s">
        <v>94</v>
      </c>
      <c r="D191" s="18" t="s">
        <v>237</v>
      </c>
      <c r="E191" s="13">
        <f t="shared" si="11"/>
        <v>349636.26</v>
      </c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>
        <v>341636.26</v>
      </c>
      <c r="S191" s="13">
        <v>8000</v>
      </c>
      <c r="T191" s="12"/>
      <c r="U191" s="153">
        <v>1</v>
      </c>
      <c r="V191" s="180">
        <f t="shared" si="9"/>
        <v>0</v>
      </c>
    </row>
    <row r="192" spans="1:22" x14ac:dyDescent="0.25">
      <c r="A192" s="17">
        <f t="shared" si="12"/>
        <v>180</v>
      </c>
      <c r="B192" s="17">
        <f t="shared" si="13"/>
        <v>180</v>
      </c>
      <c r="C192" s="62" t="s">
        <v>94</v>
      </c>
      <c r="D192" s="62" t="s">
        <v>1177</v>
      </c>
      <c r="E192" s="13">
        <f t="shared" ref="E192:E207" si="14">SUM(F192:T192)</f>
        <v>127875.57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>
        <v>103875.57</v>
      </c>
      <c r="S192" s="13">
        <v>24000</v>
      </c>
      <c r="T192" s="12"/>
      <c r="U192" s="183">
        <v>1</v>
      </c>
      <c r="V192" s="180">
        <f>+E192-R192-S192</f>
        <v>0</v>
      </c>
    </row>
    <row r="193" spans="1:22" x14ac:dyDescent="0.25">
      <c r="A193" s="17">
        <f t="shared" si="12"/>
        <v>181</v>
      </c>
      <c r="B193" s="17">
        <f t="shared" si="13"/>
        <v>181</v>
      </c>
      <c r="C193" s="62" t="s">
        <v>94</v>
      </c>
      <c r="D193" s="62" t="s">
        <v>548</v>
      </c>
      <c r="E193" s="13">
        <f t="shared" si="14"/>
        <v>149898.04999999999</v>
      </c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>
        <v>125898.04999999999</v>
      </c>
      <c r="S193" s="13">
        <v>24000</v>
      </c>
      <c r="T193" s="12"/>
      <c r="U193" s="183">
        <v>1</v>
      </c>
      <c r="V193" s="180">
        <f>+E193-R193-S193</f>
        <v>0</v>
      </c>
    </row>
    <row r="194" spans="1:22" x14ac:dyDescent="0.25">
      <c r="A194" s="17">
        <f t="shared" si="12"/>
        <v>182</v>
      </c>
      <c r="B194" s="17">
        <f t="shared" si="13"/>
        <v>182</v>
      </c>
      <c r="C194" s="62" t="s">
        <v>94</v>
      </c>
      <c r="D194" s="62" t="s">
        <v>1178</v>
      </c>
      <c r="E194" s="13">
        <f t="shared" si="14"/>
        <v>137096.17000000001</v>
      </c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>
        <v>113096.17000000001</v>
      </c>
      <c r="S194" s="13">
        <v>24000</v>
      </c>
      <c r="T194" s="12"/>
      <c r="U194" s="183">
        <v>1</v>
      </c>
      <c r="V194" s="180">
        <f>+E194-R194-S194</f>
        <v>0</v>
      </c>
    </row>
    <row r="195" spans="1:22" x14ac:dyDescent="0.25">
      <c r="A195" s="17">
        <f t="shared" si="12"/>
        <v>183</v>
      </c>
      <c r="B195" s="17">
        <f t="shared" si="13"/>
        <v>183</v>
      </c>
      <c r="C195" s="62" t="s">
        <v>94</v>
      </c>
      <c r="D195" s="62" t="s">
        <v>531</v>
      </c>
      <c r="E195" s="13">
        <f t="shared" si="14"/>
        <v>117982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>
        <v>93982</v>
      </c>
      <c r="S195" s="13">
        <v>24000</v>
      </c>
      <c r="T195" s="12"/>
    </row>
    <row r="196" spans="1:22" x14ac:dyDescent="0.25">
      <c r="A196" s="17">
        <f t="shared" si="12"/>
        <v>184</v>
      </c>
      <c r="B196" s="17">
        <f t="shared" si="13"/>
        <v>184</v>
      </c>
      <c r="C196" s="62" t="s">
        <v>94</v>
      </c>
      <c r="D196" s="62" t="s">
        <v>532</v>
      </c>
      <c r="E196" s="13">
        <f t="shared" si="14"/>
        <v>109894.5</v>
      </c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>
        <v>85894.5</v>
      </c>
      <c r="S196" s="13">
        <v>24000</v>
      </c>
      <c r="T196" s="12"/>
    </row>
    <row r="197" spans="1:22" x14ac:dyDescent="0.25">
      <c r="A197" s="17">
        <f t="shared" si="12"/>
        <v>185</v>
      </c>
      <c r="B197" s="17">
        <f t="shared" si="13"/>
        <v>185</v>
      </c>
      <c r="C197" s="62" t="s">
        <v>52</v>
      </c>
      <c r="D197" s="62" t="s">
        <v>549</v>
      </c>
      <c r="E197" s="13">
        <f t="shared" si="14"/>
        <v>51713.97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>
        <v>27713.97</v>
      </c>
      <c r="S197" s="13">
        <v>24000</v>
      </c>
      <c r="T197" s="12"/>
    </row>
    <row r="198" spans="1:22" x14ac:dyDescent="0.25">
      <c r="A198" s="17">
        <f t="shared" si="12"/>
        <v>186</v>
      </c>
      <c r="B198" s="17">
        <f t="shared" si="13"/>
        <v>186</v>
      </c>
      <c r="C198" s="62" t="s">
        <v>52</v>
      </c>
      <c r="D198" s="62" t="s">
        <v>550</v>
      </c>
      <c r="E198" s="13">
        <f t="shared" si="14"/>
        <v>27618.76</v>
      </c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>
        <v>27618.76</v>
      </c>
      <c r="S198" s="13"/>
      <c r="T198" s="12"/>
    </row>
    <row r="199" spans="1:22" x14ac:dyDescent="0.25">
      <c r="A199" s="17">
        <f t="shared" si="12"/>
        <v>187</v>
      </c>
      <c r="B199" s="17">
        <f t="shared" si="13"/>
        <v>187</v>
      </c>
      <c r="C199" s="62" t="s">
        <v>52</v>
      </c>
      <c r="D199" s="62" t="s">
        <v>551</v>
      </c>
      <c r="E199" s="13">
        <f t="shared" si="14"/>
        <v>54759.17</v>
      </c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>
        <v>30759.17</v>
      </c>
      <c r="S199" s="13">
        <v>24000</v>
      </c>
      <c r="T199" s="12"/>
    </row>
    <row r="200" spans="1:22" x14ac:dyDescent="0.25">
      <c r="A200" s="17">
        <f t="shared" si="12"/>
        <v>188</v>
      </c>
      <c r="B200" s="17">
        <f t="shared" si="13"/>
        <v>188</v>
      </c>
      <c r="C200" s="62" t="s">
        <v>52</v>
      </c>
      <c r="D200" s="62" t="s">
        <v>552</v>
      </c>
      <c r="E200" s="13">
        <f t="shared" si="14"/>
        <v>54727.43</v>
      </c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>
        <v>30727.43</v>
      </c>
      <c r="S200" s="13">
        <v>24000</v>
      </c>
      <c r="T200" s="12"/>
    </row>
    <row r="201" spans="1:22" x14ac:dyDescent="0.25">
      <c r="A201" s="17">
        <f t="shared" si="12"/>
        <v>189</v>
      </c>
      <c r="B201" s="17">
        <f t="shared" si="13"/>
        <v>189</v>
      </c>
      <c r="C201" s="62" t="s">
        <v>94</v>
      </c>
      <c r="D201" s="62" t="s">
        <v>553</v>
      </c>
      <c r="E201" s="13">
        <f t="shared" si="14"/>
        <v>136538.59</v>
      </c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>
        <v>112538.59</v>
      </c>
      <c r="S201" s="13">
        <v>24000</v>
      </c>
      <c r="T201" s="12"/>
      <c r="U201" s="183">
        <v>1</v>
      </c>
      <c r="V201" s="180">
        <f t="shared" ref="V201:V224" si="15">+E201-R201-S201</f>
        <v>0</v>
      </c>
    </row>
    <row r="202" spans="1:22" x14ac:dyDescent="0.25">
      <c r="A202" s="17">
        <f t="shared" si="12"/>
        <v>190</v>
      </c>
      <c r="B202" s="17">
        <f t="shared" si="13"/>
        <v>190</v>
      </c>
      <c r="C202" s="62" t="s">
        <v>94</v>
      </c>
      <c r="D202" s="62" t="s">
        <v>1179</v>
      </c>
      <c r="E202" s="13">
        <f t="shared" si="14"/>
        <v>113183.56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>
        <v>89183.56</v>
      </c>
      <c r="S202" s="13">
        <v>24000</v>
      </c>
      <c r="T202" s="12"/>
      <c r="U202" s="183">
        <v>1</v>
      </c>
      <c r="V202" s="180">
        <f t="shared" si="15"/>
        <v>0</v>
      </c>
    </row>
    <row r="203" spans="1:22" x14ac:dyDescent="0.25">
      <c r="A203" s="17">
        <f t="shared" si="12"/>
        <v>191</v>
      </c>
      <c r="B203" s="17">
        <f t="shared" si="13"/>
        <v>191</v>
      </c>
      <c r="C203" s="62" t="s">
        <v>94</v>
      </c>
      <c r="D203" s="62" t="s">
        <v>554</v>
      </c>
      <c r="E203" s="13">
        <f t="shared" si="14"/>
        <v>93857</v>
      </c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>
        <v>69857</v>
      </c>
      <c r="S203" s="13">
        <v>24000</v>
      </c>
      <c r="T203" s="12"/>
      <c r="U203" s="183">
        <v>1</v>
      </c>
      <c r="V203" s="180">
        <f t="shared" si="15"/>
        <v>0</v>
      </c>
    </row>
    <row r="204" spans="1:22" x14ac:dyDescent="0.25">
      <c r="A204" s="17">
        <f t="shared" si="12"/>
        <v>192</v>
      </c>
      <c r="B204" s="17">
        <f t="shared" si="13"/>
        <v>192</v>
      </c>
      <c r="C204" s="62" t="s">
        <v>94</v>
      </c>
      <c r="D204" s="62" t="s">
        <v>555</v>
      </c>
      <c r="E204" s="13">
        <f t="shared" si="14"/>
        <v>120164.31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>
        <v>96164.31</v>
      </c>
      <c r="S204" s="13">
        <v>24000</v>
      </c>
      <c r="T204" s="12"/>
      <c r="U204" s="183">
        <v>1</v>
      </c>
      <c r="V204" s="180">
        <f t="shared" si="15"/>
        <v>0</v>
      </c>
    </row>
    <row r="205" spans="1:22" x14ac:dyDescent="0.25">
      <c r="A205" s="17">
        <f t="shared" si="12"/>
        <v>193</v>
      </c>
      <c r="B205" s="17">
        <f t="shared" si="13"/>
        <v>193</v>
      </c>
      <c r="C205" s="62" t="s">
        <v>94</v>
      </c>
      <c r="D205" s="62" t="s">
        <v>1180</v>
      </c>
      <c r="E205" s="13">
        <f t="shared" si="14"/>
        <v>97271.89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>
        <v>73271.89</v>
      </c>
      <c r="S205" s="13">
        <v>24000</v>
      </c>
      <c r="T205" s="12"/>
      <c r="U205" s="183">
        <v>1</v>
      </c>
      <c r="V205" s="180">
        <f t="shared" si="15"/>
        <v>0</v>
      </c>
    </row>
    <row r="206" spans="1:22" x14ac:dyDescent="0.25">
      <c r="A206" s="17">
        <f t="shared" si="12"/>
        <v>194</v>
      </c>
      <c r="B206" s="17">
        <f t="shared" si="13"/>
        <v>194</v>
      </c>
      <c r="C206" s="62" t="s">
        <v>94</v>
      </c>
      <c r="D206" s="62" t="s">
        <v>1181</v>
      </c>
      <c r="E206" s="13">
        <f t="shared" si="14"/>
        <v>143204.79999999999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>
        <v>119204.79999999999</v>
      </c>
      <c r="S206" s="13">
        <v>24000</v>
      </c>
      <c r="T206" s="12"/>
      <c r="U206" s="183">
        <v>1</v>
      </c>
      <c r="V206" s="180">
        <f t="shared" si="15"/>
        <v>0</v>
      </c>
    </row>
    <row r="207" spans="1:22" x14ac:dyDescent="0.25">
      <c r="A207" s="17">
        <f t="shared" ref="A207:A270" si="16">+A206+1</f>
        <v>195</v>
      </c>
      <c r="B207" s="17">
        <f t="shared" ref="B207:B270" si="17">+B206+1</f>
        <v>195</v>
      </c>
      <c r="C207" s="62" t="s">
        <v>94</v>
      </c>
      <c r="D207" s="62" t="s">
        <v>1088</v>
      </c>
      <c r="E207" s="13">
        <f t="shared" si="14"/>
        <v>196639.44278931766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>
        <v>196639.44278931766</v>
      </c>
      <c r="S207" s="182"/>
      <c r="T207" s="12"/>
      <c r="U207" s="183">
        <v>1</v>
      </c>
      <c r="V207" s="180" t="e">
        <f>+E207-#REF!-R207</f>
        <v>#REF!</v>
      </c>
    </row>
    <row r="208" spans="1:22" x14ac:dyDescent="0.25">
      <c r="A208" s="17">
        <f t="shared" si="16"/>
        <v>196</v>
      </c>
      <c r="B208" s="17">
        <f t="shared" si="17"/>
        <v>196</v>
      </c>
      <c r="C208" s="62" t="s">
        <v>94</v>
      </c>
      <c r="D208" s="18" t="s">
        <v>238</v>
      </c>
      <c r="E208" s="13">
        <f t="shared" si="11"/>
        <v>759551.38000000012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>
        <v>735551.38000000012</v>
      </c>
      <c r="S208" s="13">
        <v>24000</v>
      </c>
      <c r="T208" s="12"/>
      <c r="U208" s="153">
        <v>1</v>
      </c>
      <c r="V208" s="180">
        <f t="shared" si="15"/>
        <v>0</v>
      </c>
    </row>
    <row r="209" spans="1:22" x14ac:dyDescent="0.25">
      <c r="A209" s="17">
        <f t="shared" si="16"/>
        <v>197</v>
      </c>
      <c r="B209" s="17">
        <f t="shared" si="17"/>
        <v>197</v>
      </c>
      <c r="C209" s="62" t="s">
        <v>94</v>
      </c>
      <c r="D209" s="62" t="s">
        <v>1182</v>
      </c>
      <c r="E209" s="13">
        <f>SUM(F209:T209)</f>
        <v>158663.30000000002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>
        <v>134663.30000000002</v>
      </c>
      <c r="S209" s="13">
        <v>24000</v>
      </c>
      <c r="T209" s="12"/>
      <c r="U209" s="183">
        <v>1</v>
      </c>
      <c r="V209" s="180">
        <f>+E209-R209-S209</f>
        <v>0</v>
      </c>
    </row>
    <row r="210" spans="1:22" x14ac:dyDescent="0.25">
      <c r="A210" s="17">
        <f t="shared" si="16"/>
        <v>198</v>
      </c>
      <c r="B210" s="17">
        <f t="shared" si="17"/>
        <v>198</v>
      </c>
      <c r="C210" s="62" t="s">
        <v>94</v>
      </c>
      <c r="D210" s="62" t="s">
        <v>556</v>
      </c>
      <c r="E210" s="13">
        <f>SUM(F210:T210)</f>
        <v>90391.22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>
        <v>90391.22</v>
      </c>
      <c r="S210" s="13"/>
      <c r="T210" s="12"/>
      <c r="U210" s="181">
        <v>1</v>
      </c>
      <c r="V210" s="180">
        <f>+E210-R210-S210</f>
        <v>0</v>
      </c>
    </row>
    <row r="211" spans="1:22" x14ac:dyDescent="0.25">
      <c r="A211" s="17">
        <f t="shared" si="16"/>
        <v>199</v>
      </c>
      <c r="B211" s="17">
        <f t="shared" si="17"/>
        <v>199</v>
      </c>
      <c r="C211" s="62" t="s">
        <v>94</v>
      </c>
      <c r="D211" s="18" t="s">
        <v>239</v>
      </c>
      <c r="E211" s="13">
        <f t="shared" si="11"/>
        <v>165401.01999999999</v>
      </c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>
        <v>157401.01999999999</v>
      </c>
      <c r="S211" s="13">
        <v>8000</v>
      </c>
      <c r="T211" s="12"/>
      <c r="U211" s="153">
        <v>1</v>
      </c>
      <c r="V211" s="180">
        <f t="shared" si="15"/>
        <v>0</v>
      </c>
    </row>
    <row r="212" spans="1:22" x14ac:dyDescent="0.25">
      <c r="A212" s="17">
        <f t="shared" si="16"/>
        <v>200</v>
      </c>
      <c r="B212" s="17">
        <f t="shared" si="17"/>
        <v>200</v>
      </c>
      <c r="C212" s="62" t="s">
        <v>94</v>
      </c>
      <c r="D212" s="18" t="s">
        <v>240</v>
      </c>
      <c r="E212" s="13">
        <f t="shared" si="11"/>
        <v>208906.47999999998</v>
      </c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>
        <v>200906.47999999998</v>
      </c>
      <c r="S212" s="13">
        <v>8000</v>
      </c>
      <c r="T212" s="12"/>
      <c r="U212" s="153">
        <v>1</v>
      </c>
      <c r="V212" s="180">
        <f t="shared" si="15"/>
        <v>0</v>
      </c>
    </row>
    <row r="213" spans="1:22" x14ac:dyDescent="0.25">
      <c r="A213" s="17">
        <f t="shared" si="16"/>
        <v>201</v>
      </c>
      <c r="B213" s="17">
        <f t="shared" si="17"/>
        <v>201</v>
      </c>
      <c r="C213" s="62" t="s">
        <v>94</v>
      </c>
      <c r="D213" s="18" t="s">
        <v>241</v>
      </c>
      <c r="E213" s="13">
        <f t="shared" si="11"/>
        <v>208225.19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>
        <v>200225.19</v>
      </c>
      <c r="S213" s="13">
        <v>8000</v>
      </c>
      <c r="T213" s="12"/>
      <c r="U213" s="153">
        <v>1</v>
      </c>
      <c r="V213" s="180">
        <f t="shared" si="15"/>
        <v>0</v>
      </c>
    </row>
    <row r="214" spans="1:22" x14ac:dyDescent="0.25">
      <c r="A214" s="17">
        <f t="shared" si="16"/>
        <v>202</v>
      </c>
      <c r="B214" s="17">
        <f t="shared" si="17"/>
        <v>202</v>
      </c>
      <c r="C214" s="62" t="s">
        <v>94</v>
      </c>
      <c r="D214" s="18" t="s">
        <v>242</v>
      </c>
      <c r="E214" s="13">
        <f t="shared" si="11"/>
        <v>291527.46999999997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>
        <v>283527.46999999997</v>
      </c>
      <c r="S214" s="13">
        <v>8000</v>
      </c>
      <c r="T214" s="12"/>
      <c r="U214" s="153">
        <v>1</v>
      </c>
      <c r="V214" s="180">
        <f t="shared" si="15"/>
        <v>0</v>
      </c>
    </row>
    <row r="215" spans="1:22" x14ac:dyDescent="0.25">
      <c r="A215" s="17">
        <f t="shared" si="16"/>
        <v>203</v>
      </c>
      <c r="B215" s="17">
        <f t="shared" si="17"/>
        <v>203</v>
      </c>
      <c r="C215" s="62" t="s">
        <v>94</v>
      </c>
      <c r="D215" s="18" t="s">
        <v>244</v>
      </c>
      <c r="E215" s="13">
        <f t="shared" si="11"/>
        <v>234212.08000000002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>
        <v>226212.08000000002</v>
      </c>
      <c r="S215" s="13">
        <v>8000</v>
      </c>
      <c r="T215" s="12"/>
      <c r="U215" s="153">
        <v>1</v>
      </c>
      <c r="V215" s="180">
        <f t="shared" si="15"/>
        <v>0</v>
      </c>
    </row>
    <row r="216" spans="1:22" x14ac:dyDescent="0.25">
      <c r="A216" s="17">
        <f t="shared" si="16"/>
        <v>204</v>
      </c>
      <c r="B216" s="17">
        <f t="shared" si="17"/>
        <v>204</v>
      </c>
      <c r="C216" s="62" t="s">
        <v>94</v>
      </c>
      <c r="D216" s="18" t="s">
        <v>246</v>
      </c>
      <c r="E216" s="13">
        <f t="shared" si="11"/>
        <v>406095.02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>
        <v>398095.02</v>
      </c>
      <c r="S216" s="13">
        <v>8000</v>
      </c>
      <c r="T216" s="12"/>
      <c r="U216" s="153">
        <v>1</v>
      </c>
      <c r="V216" s="180">
        <f t="shared" si="15"/>
        <v>0</v>
      </c>
    </row>
    <row r="217" spans="1:22" x14ac:dyDescent="0.25">
      <c r="A217" s="17">
        <f t="shared" si="16"/>
        <v>205</v>
      </c>
      <c r="B217" s="17">
        <f t="shared" si="17"/>
        <v>205</v>
      </c>
      <c r="C217" s="62" t="s">
        <v>94</v>
      </c>
      <c r="D217" s="18" t="s">
        <v>247</v>
      </c>
      <c r="E217" s="13">
        <f t="shared" si="11"/>
        <v>1383147.26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>
        <v>1359147.26</v>
      </c>
      <c r="S217" s="13">
        <v>24000</v>
      </c>
      <c r="T217" s="12"/>
      <c r="U217" s="153">
        <v>1</v>
      </c>
      <c r="V217" s="180">
        <f t="shared" si="15"/>
        <v>0</v>
      </c>
    </row>
    <row r="218" spans="1:22" x14ac:dyDescent="0.25">
      <c r="A218" s="17">
        <f t="shared" si="16"/>
        <v>206</v>
      </c>
      <c r="B218" s="17">
        <f t="shared" si="17"/>
        <v>206</v>
      </c>
      <c r="C218" s="62" t="s">
        <v>94</v>
      </c>
      <c r="D218" s="18" t="s">
        <v>540</v>
      </c>
      <c r="E218" s="13">
        <f>SUM(F218:T218)</f>
        <v>82537.200845238855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>
        <v>58537.200845238855</v>
      </c>
      <c r="S218" s="13">
        <v>24000</v>
      </c>
      <c r="T218" s="12"/>
      <c r="U218" s="183">
        <v>1</v>
      </c>
      <c r="V218" s="180">
        <f>+E218-R218-S218</f>
        <v>0</v>
      </c>
    </row>
    <row r="219" spans="1:22" x14ac:dyDescent="0.25">
      <c r="A219" s="17">
        <f t="shared" si="16"/>
        <v>207</v>
      </c>
      <c r="B219" s="17">
        <f t="shared" si="17"/>
        <v>207</v>
      </c>
      <c r="C219" s="62" t="s">
        <v>94</v>
      </c>
      <c r="D219" s="18" t="s">
        <v>1183</v>
      </c>
      <c r="E219" s="13">
        <f>SUM(F219:T219)</f>
        <v>155723.11000000002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>
        <v>155723.11000000002</v>
      </c>
      <c r="S219" s="13"/>
      <c r="T219" s="12"/>
      <c r="U219" s="152"/>
      <c r="V219" s="180"/>
    </row>
    <row r="220" spans="1:22" x14ac:dyDescent="0.25">
      <c r="A220" s="17">
        <f t="shared" si="16"/>
        <v>208</v>
      </c>
      <c r="B220" s="17">
        <f t="shared" si="17"/>
        <v>208</v>
      </c>
      <c r="C220" s="62" t="s">
        <v>94</v>
      </c>
      <c r="D220" s="62" t="s">
        <v>599</v>
      </c>
      <c r="E220" s="13">
        <f t="shared" ref="E220" si="18">SUM(F220:T220)</f>
        <v>11099.2</v>
      </c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>
        <v>11099.2</v>
      </c>
      <c r="S220" s="13"/>
      <c r="T220" s="12"/>
      <c r="U220" s="152"/>
      <c r="V220" s="180"/>
    </row>
    <row r="221" spans="1:22" x14ac:dyDescent="0.25">
      <c r="A221" s="17">
        <f t="shared" si="16"/>
        <v>209</v>
      </c>
      <c r="B221" s="17">
        <f t="shared" si="17"/>
        <v>209</v>
      </c>
      <c r="C221" s="62" t="s">
        <v>94</v>
      </c>
      <c r="D221" s="18" t="s">
        <v>250</v>
      </c>
      <c r="E221" s="13">
        <f t="shared" si="11"/>
        <v>145201.22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>
        <v>121201.22</v>
      </c>
      <c r="S221" s="13">
        <v>24000</v>
      </c>
      <c r="T221" s="12"/>
      <c r="U221" s="153">
        <v>1</v>
      </c>
      <c r="V221" s="180">
        <f t="shared" si="15"/>
        <v>0</v>
      </c>
    </row>
    <row r="222" spans="1:22" x14ac:dyDescent="0.25">
      <c r="A222" s="17">
        <f t="shared" si="16"/>
        <v>210</v>
      </c>
      <c r="B222" s="17">
        <f t="shared" si="17"/>
        <v>210</v>
      </c>
      <c r="C222" s="62" t="s">
        <v>94</v>
      </c>
      <c r="D222" s="62" t="s">
        <v>533</v>
      </c>
      <c r="E222" s="13">
        <f>SUM(F222:T222)</f>
        <v>435346.44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>
        <v>411346.44</v>
      </c>
      <c r="S222" s="13">
        <v>24000</v>
      </c>
      <c r="T222" s="12"/>
    </row>
    <row r="223" spans="1:22" x14ac:dyDescent="0.25">
      <c r="A223" s="17">
        <f t="shared" si="16"/>
        <v>211</v>
      </c>
      <c r="B223" s="17">
        <f t="shared" si="17"/>
        <v>211</v>
      </c>
      <c r="C223" s="62" t="s">
        <v>94</v>
      </c>
      <c r="D223" s="62" t="s">
        <v>557</v>
      </c>
      <c r="E223" s="13">
        <f>SUM(F223:T223)</f>
        <v>112223.26582337829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>
        <v>88223.265823378286</v>
      </c>
      <c r="S223" s="13">
        <v>24000</v>
      </c>
      <c r="T223" s="12"/>
    </row>
    <row r="224" spans="1:22" x14ac:dyDescent="0.25">
      <c r="A224" s="17">
        <f t="shared" si="16"/>
        <v>212</v>
      </c>
      <c r="B224" s="17">
        <f t="shared" si="17"/>
        <v>212</v>
      </c>
      <c r="C224" s="62" t="s">
        <v>511</v>
      </c>
      <c r="D224" s="18" t="s">
        <v>254</v>
      </c>
      <c r="E224" s="13">
        <f t="shared" si="11"/>
        <v>1336365.3899999999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>
        <v>1304365.3899999999</v>
      </c>
      <c r="S224" s="13">
        <v>32000</v>
      </c>
      <c r="T224" s="12"/>
      <c r="U224" s="153">
        <v>1</v>
      </c>
      <c r="V224" s="180">
        <f t="shared" si="15"/>
        <v>0</v>
      </c>
    </row>
    <row r="225" spans="1:22" x14ac:dyDescent="0.25">
      <c r="A225" s="17">
        <f t="shared" si="16"/>
        <v>213</v>
      </c>
      <c r="B225" s="17">
        <f t="shared" si="17"/>
        <v>213</v>
      </c>
      <c r="C225" s="62" t="s">
        <v>511</v>
      </c>
      <c r="D225" s="18" t="s">
        <v>403</v>
      </c>
      <c r="E225" s="13">
        <f>SUM(F225:T225)</f>
        <v>1977855.4499999997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>
        <v>1953855.4499999997</v>
      </c>
      <c r="S225" s="13">
        <v>24000</v>
      </c>
      <c r="T225" s="12"/>
      <c r="U225" s="153">
        <v>1</v>
      </c>
      <c r="V225" s="180">
        <f>+E225-R225-S225</f>
        <v>0</v>
      </c>
    </row>
    <row r="226" spans="1:22" x14ac:dyDescent="0.25">
      <c r="A226" s="17">
        <f t="shared" si="16"/>
        <v>214</v>
      </c>
      <c r="B226" s="17">
        <f t="shared" si="17"/>
        <v>214</v>
      </c>
      <c r="C226" s="62" t="s">
        <v>511</v>
      </c>
      <c r="D226" s="62" t="s">
        <v>534</v>
      </c>
      <c r="E226" s="13">
        <f>SUM(F226:T226)</f>
        <v>401324.47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>
        <v>377324.47</v>
      </c>
      <c r="S226" s="13">
        <v>24000</v>
      </c>
      <c r="T226" s="12"/>
    </row>
    <row r="227" spans="1:22" x14ac:dyDescent="0.25">
      <c r="A227" s="17">
        <f t="shared" si="16"/>
        <v>215</v>
      </c>
      <c r="B227" s="17">
        <f t="shared" si="17"/>
        <v>215</v>
      </c>
      <c r="C227" s="62" t="s">
        <v>511</v>
      </c>
      <c r="D227" s="62" t="s">
        <v>596</v>
      </c>
      <c r="E227" s="13">
        <f t="shared" ref="E227:E229" si="19">SUM(F227:T227)</f>
        <v>18741.48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>
        <v>18741.48</v>
      </c>
      <c r="S227" s="13"/>
      <c r="T227" s="12"/>
    </row>
    <row r="228" spans="1:22" x14ac:dyDescent="0.25">
      <c r="A228" s="17">
        <f t="shared" si="16"/>
        <v>216</v>
      </c>
      <c r="B228" s="17">
        <f t="shared" si="17"/>
        <v>216</v>
      </c>
      <c r="C228" s="62" t="s">
        <v>511</v>
      </c>
      <c r="D228" s="62" t="s">
        <v>597</v>
      </c>
      <c r="E228" s="13">
        <f t="shared" si="19"/>
        <v>58639.08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>
        <v>58639.08</v>
      </c>
      <c r="S228" s="13"/>
      <c r="T228" s="12"/>
    </row>
    <row r="229" spans="1:22" x14ac:dyDescent="0.25">
      <c r="A229" s="17">
        <f t="shared" si="16"/>
        <v>217</v>
      </c>
      <c r="B229" s="17">
        <f t="shared" si="17"/>
        <v>217</v>
      </c>
      <c r="C229" s="62" t="s">
        <v>511</v>
      </c>
      <c r="D229" s="62" t="s">
        <v>598</v>
      </c>
      <c r="E229" s="13">
        <f t="shared" si="19"/>
        <v>58639.08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>
        <v>58639.08</v>
      </c>
      <c r="S229" s="13"/>
      <c r="T229" s="12"/>
    </row>
    <row r="230" spans="1:22" x14ac:dyDescent="0.25">
      <c r="A230" s="17">
        <f t="shared" si="16"/>
        <v>218</v>
      </c>
      <c r="B230" s="17">
        <f t="shared" si="17"/>
        <v>218</v>
      </c>
      <c r="C230" s="62" t="s">
        <v>53</v>
      </c>
      <c r="D230" s="18" t="s">
        <v>162</v>
      </c>
      <c r="E230" s="13">
        <f>SUM(F230:T230)</f>
        <v>270010.12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>
        <v>260010.12</v>
      </c>
      <c r="S230" s="13">
        <v>10000</v>
      </c>
      <c r="T230" s="12"/>
      <c r="U230" s="153">
        <v>1</v>
      </c>
      <c r="V230" s="180">
        <f t="shared" ref="V230:V293" si="20">+E230-R230-S230</f>
        <v>0</v>
      </c>
    </row>
    <row r="231" spans="1:22" x14ac:dyDescent="0.25">
      <c r="A231" s="17">
        <f t="shared" si="16"/>
        <v>219</v>
      </c>
      <c r="B231" s="17">
        <f t="shared" si="17"/>
        <v>219</v>
      </c>
      <c r="C231" s="62" t="s">
        <v>53</v>
      </c>
      <c r="D231" s="18" t="s">
        <v>496</v>
      </c>
      <c r="E231" s="13">
        <f t="shared" ref="E231:E234" si="21">SUM(F231:T231)</f>
        <v>161111.72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>
        <v>151111.72</v>
      </c>
      <c r="S231" s="13">
        <v>10000</v>
      </c>
      <c r="T231" s="12"/>
      <c r="U231" s="153">
        <v>1</v>
      </c>
      <c r="V231" s="180">
        <f t="shared" si="20"/>
        <v>0</v>
      </c>
    </row>
    <row r="232" spans="1:22" x14ac:dyDescent="0.25">
      <c r="A232" s="17">
        <f t="shared" si="16"/>
        <v>220</v>
      </c>
      <c r="B232" s="17">
        <f t="shared" si="17"/>
        <v>220</v>
      </c>
      <c r="C232" s="62" t="s">
        <v>53</v>
      </c>
      <c r="D232" s="18" t="s">
        <v>498</v>
      </c>
      <c r="E232" s="13">
        <f t="shared" si="21"/>
        <v>159616.04999999999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>
        <v>149616.04999999999</v>
      </c>
      <c r="S232" s="13">
        <v>10000</v>
      </c>
      <c r="T232" s="12"/>
      <c r="U232" s="153">
        <v>1</v>
      </c>
      <c r="V232" s="180">
        <f t="shared" si="20"/>
        <v>0</v>
      </c>
    </row>
    <row r="233" spans="1:22" x14ac:dyDescent="0.25">
      <c r="A233" s="17">
        <f t="shared" si="16"/>
        <v>221</v>
      </c>
      <c r="B233" s="17">
        <f t="shared" si="17"/>
        <v>221</v>
      </c>
      <c r="C233" s="62" t="s">
        <v>53</v>
      </c>
      <c r="D233" s="18" t="s">
        <v>499</v>
      </c>
      <c r="E233" s="13">
        <f t="shared" si="21"/>
        <v>163637.26999999999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>
        <v>153637.26999999999</v>
      </c>
      <c r="S233" s="13">
        <v>10000</v>
      </c>
      <c r="T233" s="12"/>
      <c r="U233" s="153">
        <v>1</v>
      </c>
      <c r="V233" s="180">
        <f t="shared" si="20"/>
        <v>0</v>
      </c>
    </row>
    <row r="234" spans="1:22" x14ac:dyDescent="0.25">
      <c r="A234" s="17">
        <f t="shared" si="16"/>
        <v>222</v>
      </c>
      <c r="B234" s="17">
        <f t="shared" si="17"/>
        <v>222</v>
      </c>
      <c r="C234" s="62" t="s">
        <v>53</v>
      </c>
      <c r="D234" s="18" t="s">
        <v>163</v>
      </c>
      <c r="E234" s="13">
        <f t="shared" si="21"/>
        <v>244655.29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>
        <v>234655.29</v>
      </c>
      <c r="S234" s="13">
        <v>10000</v>
      </c>
      <c r="T234" s="12"/>
      <c r="U234" s="153">
        <v>1</v>
      </c>
      <c r="V234" s="180">
        <f t="shared" si="20"/>
        <v>0</v>
      </c>
    </row>
    <row r="235" spans="1:22" x14ac:dyDescent="0.25">
      <c r="A235" s="17">
        <f t="shared" si="16"/>
        <v>223</v>
      </c>
      <c r="B235" s="17">
        <f t="shared" si="17"/>
        <v>223</v>
      </c>
      <c r="C235" s="62" t="s">
        <v>53</v>
      </c>
      <c r="D235" s="18" t="s">
        <v>164</v>
      </c>
      <c r="E235" s="13">
        <f t="shared" ref="E235:E298" si="22">SUM(F235:T235)</f>
        <v>202894.83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>
        <v>192894.83</v>
      </c>
      <c r="S235" s="13">
        <v>10000</v>
      </c>
      <c r="T235" s="12"/>
      <c r="U235" s="153">
        <v>1</v>
      </c>
      <c r="V235" s="180">
        <f t="shared" si="20"/>
        <v>0</v>
      </c>
    </row>
    <row r="236" spans="1:22" x14ac:dyDescent="0.25">
      <c r="A236" s="17">
        <f t="shared" si="16"/>
        <v>224</v>
      </c>
      <c r="B236" s="17">
        <f t="shared" si="17"/>
        <v>224</v>
      </c>
      <c r="C236" s="62" t="s">
        <v>53</v>
      </c>
      <c r="D236" s="18" t="s">
        <v>165</v>
      </c>
      <c r="E236" s="13">
        <f t="shared" si="22"/>
        <v>139588.24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>
        <v>131588.24</v>
      </c>
      <c r="S236" s="13">
        <v>8000</v>
      </c>
      <c r="T236" s="12"/>
      <c r="U236" s="153">
        <v>1</v>
      </c>
      <c r="V236" s="180">
        <f t="shared" si="20"/>
        <v>0</v>
      </c>
    </row>
    <row r="237" spans="1:22" x14ac:dyDescent="0.25">
      <c r="A237" s="17">
        <f t="shared" si="16"/>
        <v>225</v>
      </c>
      <c r="B237" s="17">
        <f t="shared" si="17"/>
        <v>225</v>
      </c>
      <c r="C237" s="62" t="s">
        <v>53</v>
      </c>
      <c r="D237" s="18" t="s">
        <v>166</v>
      </c>
      <c r="E237" s="13">
        <f t="shared" si="22"/>
        <v>134430.18</v>
      </c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>
        <v>126430.18</v>
      </c>
      <c r="S237" s="13">
        <v>8000</v>
      </c>
      <c r="T237" s="12"/>
      <c r="U237" s="153">
        <v>1</v>
      </c>
      <c r="V237" s="180">
        <f t="shared" si="20"/>
        <v>0</v>
      </c>
    </row>
    <row r="238" spans="1:22" x14ac:dyDescent="0.25">
      <c r="A238" s="17">
        <f t="shared" si="16"/>
        <v>226</v>
      </c>
      <c r="B238" s="17">
        <f t="shared" si="17"/>
        <v>226</v>
      </c>
      <c r="C238" s="62" t="s">
        <v>53</v>
      </c>
      <c r="D238" s="18" t="s">
        <v>167</v>
      </c>
      <c r="E238" s="13">
        <f t="shared" si="22"/>
        <v>113169.23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>
        <v>105169.23</v>
      </c>
      <c r="S238" s="13">
        <v>8000</v>
      </c>
      <c r="T238" s="12"/>
      <c r="U238" s="153">
        <v>1</v>
      </c>
      <c r="V238" s="180">
        <f t="shared" si="20"/>
        <v>0</v>
      </c>
    </row>
    <row r="239" spans="1:22" x14ac:dyDescent="0.25">
      <c r="A239" s="17">
        <f t="shared" si="16"/>
        <v>227</v>
      </c>
      <c r="B239" s="17">
        <f t="shared" si="17"/>
        <v>227</v>
      </c>
      <c r="C239" s="62" t="s">
        <v>53</v>
      </c>
      <c r="D239" s="18" t="s">
        <v>168</v>
      </c>
      <c r="E239" s="13">
        <f t="shared" si="22"/>
        <v>375830.81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>
        <v>351830.81</v>
      </c>
      <c r="S239" s="13">
        <v>24000</v>
      </c>
      <c r="T239" s="12"/>
      <c r="U239" s="153">
        <v>1</v>
      </c>
      <c r="V239" s="180">
        <f t="shared" si="20"/>
        <v>0</v>
      </c>
    </row>
    <row r="240" spans="1:22" x14ac:dyDescent="0.25">
      <c r="A240" s="17">
        <f t="shared" si="16"/>
        <v>228</v>
      </c>
      <c r="B240" s="17">
        <f t="shared" si="17"/>
        <v>228</v>
      </c>
      <c r="C240" s="62" t="s">
        <v>53</v>
      </c>
      <c r="D240" s="18" t="s">
        <v>169</v>
      </c>
      <c r="E240" s="13">
        <f t="shared" si="22"/>
        <v>252162.69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>
        <v>228162.69</v>
      </c>
      <c r="S240" s="13">
        <v>24000</v>
      </c>
      <c r="T240" s="12"/>
      <c r="U240" s="153">
        <v>1</v>
      </c>
      <c r="V240" s="180">
        <f t="shared" si="20"/>
        <v>0</v>
      </c>
    </row>
    <row r="241" spans="1:22" x14ac:dyDescent="0.25">
      <c r="A241" s="17">
        <f t="shared" si="16"/>
        <v>229</v>
      </c>
      <c r="B241" s="17">
        <f t="shared" si="17"/>
        <v>229</v>
      </c>
      <c r="C241" s="62" t="s">
        <v>53</v>
      </c>
      <c r="D241" s="18" t="s">
        <v>170</v>
      </c>
      <c r="E241" s="13">
        <f t="shared" si="22"/>
        <v>201169.38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>
        <v>177169.38</v>
      </c>
      <c r="S241" s="13">
        <v>24000</v>
      </c>
      <c r="T241" s="12"/>
      <c r="U241" s="153">
        <v>1</v>
      </c>
      <c r="V241" s="180">
        <f t="shared" si="20"/>
        <v>0</v>
      </c>
    </row>
    <row r="242" spans="1:22" x14ac:dyDescent="0.25">
      <c r="A242" s="17">
        <f t="shared" si="16"/>
        <v>230</v>
      </c>
      <c r="B242" s="17">
        <f t="shared" si="17"/>
        <v>230</v>
      </c>
      <c r="C242" s="62" t="s">
        <v>53</v>
      </c>
      <c r="D242" s="18" t="s">
        <v>171</v>
      </c>
      <c r="E242" s="13">
        <f t="shared" si="22"/>
        <v>352845.43</v>
      </c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>
        <v>328845.43</v>
      </c>
      <c r="S242" s="13">
        <v>24000</v>
      </c>
      <c r="T242" s="12"/>
      <c r="U242" s="153">
        <v>1</v>
      </c>
      <c r="V242" s="180">
        <f t="shared" si="20"/>
        <v>0</v>
      </c>
    </row>
    <row r="243" spans="1:22" x14ac:dyDescent="0.25">
      <c r="A243" s="17">
        <f t="shared" si="16"/>
        <v>231</v>
      </c>
      <c r="B243" s="17">
        <f t="shared" si="17"/>
        <v>231</v>
      </c>
      <c r="C243" s="62" t="s">
        <v>53</v>
      </c>
      <c r="D243" s="18" t="s">
        <v>172</v>
      </c>
      <c r="E243" s="13">
        <f t="shared" si="22"/>
        <v>252532.38999999998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>
        <v>228532.38999999998</v>
      </c>
      <c r="S243" s="13">
        <v>24000</v>
      </c>
      <c r="T243" s="12"/>
      <c r="U243" s="153">
        <v>1</v>
      </c>
      <c r="V243" s="180">
        <f t="shared" si="20"/>
        <v>0</v>
      </c>
    </row>
    <row r="244" spans="1:22" x14ac:dyDescent="0.25">
      <c r="A244" s="17">
        <f t="shared" si="16"/>
        <v>232</v>
      </c>
      <c r="B244" s="17">
        <f t="shared" si="17"/>
        <v>232</v>
      </c>
      <c r="C244" s="62" t="s">
        <v>53</v>
      </c>
      <c r="D244" s="18" t="s">
        <v>173</v>
      </c>
      <c r="E244" s="13">
        <f t="shared" si="22"/>
        <v>380273.64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>
        <v>356273.64</v>
      </c>
      <c r="S244" s="13">
        <v>24000</v>
      </c>
      <c r="T244" s="12"/>
      <c r="U244" s="153">
        <v>1</v>
      </c>
      <c r="V244" s="180">
        <f t="shared" si="20"/>
        <v>0</v>
      </c>
    </row>
    <row r="245" spans="1:22" x14ac:dyDescent="0.25">
      <c r="A245" s="17">
        <f t="shared" si="16"/>
        <v>233</v>
      </c>
      <c r="B245" s="17">
        <f t="shared" si="17"/>
        <v>233</v>
      </c>
      <c r="C245" s="62" t="s">
        <v>53</v>
      </c>
      <c r="D245" s="18" t="s">
        <v>174</v>
      </c>
      <c r="E245" s="13">
        <f t="shared" si="22"/>
        <v>148651.82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>
        <v>124651.82</v>
      </c>
      <c r="S245" s="13">
        <v>24000</v>
      </c>
      <c r="T245" s="12"/>
      <c r="U245" s="153">
        <v>1</v>
      </c>
      <c r="V245" s="180">
        <f t="shared" si="20"/>
        <v>0</v>
      </c>
    </row>
    <row r="246" spans="1:22" x14ac:dyDescent="0.25">
      <c r="A246" s="17">
        <f t="shared" si="16"/>
        <v>234</v>
      </c>
      <c r="B246" s="17">
        <f t="shared" si="17"/>
        <v>234</v>
      </c>
      <c r="C246" s="62" t="s">
        <v>53</v>
      </c>
      <c r="D246" s="18" t="s">
        <v>175</v>
      </c>
      <c r="E246" s="13">
        <f t="shared" si="22"/>
        <v>356869.12000000005</v>
      </c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>
        <v>332869.12000000005</v>
      </c>
      <c r="S246" s="13">
        <v>24000</v>
      </c>
      <c r="T246" s="12"/>
      <c r="U246" s="153">
        <v>1</v>
      </c>
      <c r="V246" s="180">
        <f t="shared" si="20"/>
        <v>0</v>
      </c>
    </row>
    <row r="247" spans="1:22" x14ac:dyDescent="0.25">
      <c r="A247" s="17">
        <f t="shared" si="16"/>
        <v>235</v>
      </c>
      <c r="B247" s="17">
        <f t="shared" si="17"/>
        <v>235</v>
      </c>
      <c r="C247" s="62" t="s">
        <v>53</v>
      </c>
      <c r="D247" s="18" t="s">
        <v>176</v>
      </c>
      <c r="E247" s="13">
        <f t="shared" si="22"/>
        <v>390055.05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>
        <v>366055.05</v>
      </c>
      <c r="S247" s="13">
        <v>24000</v>
      </c>
      <c r="T247" s="12"/>
      <c r="U247" s="153">
        <v>1</v>
      </c>
      <c r="V247" s="180">
        <f t="shared" si="20"/>
        <v>0</v>
      </c>
    </row>
    <row r="248" spans="1:22" x14ac:dyDescent="0.25">
      <c r="A248" s="17">
        <f t="shared" si="16"/>
        <v>236</v>
      </c>
      <c r="B248" s="17">
        <f t="shared" si="17"/>
        <v>236</v>
      </c>
      <c r="C248" s="62" t="s">
        <v>53</v>
      </c>
      <c r="D248" s="18" t="s">
        <v>177</v>
      </c>
      <c r="E248" s="13">
        <f t="shared" si="22"/>
        <v>480430.27000000008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>
        <v>456430.27000000008</v>
      </c>
      <c r="S248" s="13">
        <v>24000</v>
      </c>
      <c r="T248" s="12"/>
      <c r="U248" s="153">
        <v>1</v>
      </c>
      <c r="V248" s="180">
        <f t="shared" si="20"/>
        <v>0</v>
      </c>
    </row>
    <row r="249" spans="1:22" x14ac:dyDescent="0.25">
      <c r="A249" s="17">
        <f t="shared" si="16"/>
        <v>237</v>
      </c>
      <c r="B249" s="17">
        <f t="shared" si="17"/>
        <v>237</v>
      </c>
      <c r="C249" s="62" t="s">
        <v>53</v>
      </c>
      <c r="D249" s="18" t="s">
        <v>178</v>
      </c>
      <c r="E249" s="13">
        <f t="shared" si="22"/>
        <v>377148.54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>
        <v>353148.54</v>
      </c>
      <c r="S249" s="13">
        <v>24000</v>
      </c>
      <c r="T249" s="12"/>
      <c r="U249" s="153">
        <v>1</v>
      </c>
      <c r="V249" s="180">
        <f t="shared" si="20"/>
        <v>0</v>
      </c>
    </row>
    <row r="250" spans="1:22" x14ac:dyDescent="0.25">
      <c r="A250" s="17">
        <f t="shared" si="16"/>
        <v>238</v>
      </c>
      <c r="B250" s="17">
        <f t="shared" si="17"/>
        <v>238</v>
      </c>
      <c r="C250" s="62" t="s">
        <v>53</v>
      </c>
      <c r="D250" s="18" t="s">
        <v>179</v>
      </c>
      <c r="E250" s="13">
        <f t="shared" si="22"/>
        <v>259197.48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>
        <v>235197.48</v>
      </c>
      <c r="S250" s="13">
        <v>24000</v>
      </c>
      <c r="T250" s="12"/>
      <c r="U250" s="153">
        <v>1</v>
      </c>
      <c r="V250" s="180">
        <f t="shared" si="20"/>
        <v>0</v>
      </c>
    </row>
    <row r="251" spans="1:22" x14ac:dyDescent="0.25">
      <c r="A251" s="17">
        <f t="shared" si="16"/>
        <v>239</v>
      </c>
      <c r="B251" s="17">
        <f t="shared" si="17"/>
        <v>239</v>
      </c>
      <c r="C251" s="62" t="s">
        <v>53</v>
      </c>
      <c r="D251" s="18" t="s">
        <v>180</v>
      </c>
      <c r="E251" s="13">
        <f t="shared" si="22"/>
        <v>253253.27000000002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>
        <v>229253.27000000002</v>
      </c>
      <c r="S251" s="13">
        <v>24000</v>
      </c>
      <c r="T251" s="12"/>
      <c r="U251" s="153">
        <v>1</v>
      </c>
      <c r="V251" s="180">
        <f t="shared" si="20"/>
        <v>0</v>
      </c>
    </row>
    <row r="252" spans="1:22" x14ac:dyDescent="0.25">
      <c r="A252" s="17">
        <f t="shared" si="16"/>
        <v>240</v>
      </c>
      <c r="B252" s="17">
        <f t="shared" si="17"/>
        <v>240</v>
      </c>
      <c r="C252" s="62" t="s">
        <v>53</v>
      </c>
      <c r="D252" s="18" t="s">
        <v>181</v>
      </c>
      <c r="E252" s="13">
        <f t="shared" si="22"/>
        <v>888060.27999999991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>
        <v>864060.27999999991</v>
      </c>
      <c r="S252" s="13">
        <v>24000</v>
      </c>
      <c r="T252" s="12"/>
      <c r="U252" s="153">
        <v>1</v>
      </c>
      <c r="V252" s="180">
        <f t="shared" si="20"/>
        <v>0</v>
      </c>
    </row>
    <row r="253" spans="1:22" x14ac:dyDescent="0.25">
      <c r="A253" s="17">
        <f t="shared" si="16"/>
        <v>241</v>
      </c>
      <c r="B253" s="17">
        <f t="shared" si="17"/>
        <v>241</v>
      </c>
      <c r="C253" s="62" t="s">
        <v>53</v>
      </c>
      <c r="D253" s="18" t="s">
        <v>182</v>
      </c>
      <c r="E253" s="13">
        <f t="shared" si="22"/>
        <v>365040.37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>
        <v>341040.37</v>
      </c>
      <c r="S253" s="13">
        <v>24000</v>
      </c>
      <c r="T253" s="12"/>
      <c r="U253" s="153">
        <v>1</v>
      </c>
      <c r="V253" s="180">
        <f t="shared" si="20"/>
        <v>0</v>
      </c>
    </row>
    <row r="254" spans="1:22" x14ac:dyDescent="0.25">
      <c r="A254" s="17">
        <f t="shared" si="16"/>
        <v>242</v>
      </c>
      <c r="B254" s="17">
        <f t="shared" si="17"/>
        <v>242</v>
      </c>
      <c r="C254" s="62" t="s">
        <v>53</v>
      </c>
      <c r="D254" s="18" t="s">
        <v>183</v>
      </c>
      <c r="E254" s="13">
        <f t="shared" si="22"/>
        <v>237999.66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>
        <v>227999.66</v>
      </c>
      <c r="S254" s="13">
        <v>10000</v>
      </c>
      <c r="T254" s="12"/>
      <c r="U254" s="153">
        <v>1</v>
      </c>
      <c r="V254" s="180">
        <f t="shared" si="20"/>
        <v>0</v>
      </c>
    </row>
    <row r="255" spans="1:22" x14ac:dyDescent="0.25">
      <c r="A255" s="17">
        <f t="shared" si="16"/>
        <v>243</v>
      </c>
      <c r="B255" s="17">
        <f t="shared" si="17"/>
        <v>243</v>
      </c>
      <c r="C255" s="62" t="s">
        <v>53</v>
      </c>
      <c r="D255" s="18" t="s">
        <v>184</v>
      </c>
      <c r="E255" s="13">
        <f t="shared" si="22"/>
        <v>219802.34000000003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>
        <v>209802.34000000003</v>
      </c>
      <c r="S255" s="13">
        <v>10000</v>
      </c>
      <c r="T255" s="12"/>
      <c r="U255" s="153">
        <v>1</v>
      </c>
      <c r="V255" s="180">
        <f t="shared" si="20"/>
        <v>0</v>
      </c>
    </row>
    <row r="256" spans="1:22" x14ac:dyDescent="0.25">
      <c r="A256" s="17">
        <f t="shared" si="16"/>
        <v>244</v>
      </c>
      <c r="B256" s="17">
        <f t="shared" si="17"/>
        <v>244</v>
      </c>
      <c r="C256" s="62" t="s">
        <v>53</v>
      </c>
      <c r="D256" s="18" t="s">
        <v>185</v>
      </c>
      <c r="E256" s="13">
        <f t="shared" si="22"/>
        <v>492619.01999999996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>
        <v>468619.01999999996</v>
      </c>
      <c r="S256" s="13">
        <v>24000</v>
      </c>
      <c r="T256" s="12"/>
      <c r="U256" s="153">
        <v>1</v>
      </c>
      <c r="V256" s="180">
        <f t="shared" si="20"/>
        <v>0</v>
      </c>
    </row>
    <row r="257" spans="1:22" x14ac:dyDescent="0.25">
      <c r="A257" s="17">
        <f t="shared" si="16"/>
        <v>245</v>
      </c>
      <c r="B257" s="17">
        <f t="shared" si="17"/>
        <v>245</v>
      </c>
      <c r="C257" s="62" t="s">
        <v>53</v>
      </c>
      <c r="D257" s="18" t="s">
        <v>186</v>
      </c>
      <c r="E257" s="13">
        <f t="shared" si="22"/>
        <v>913803.31999999983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>
        <v>889803.31999999983</v>
      </c>
      <c r="S257" s="13">
        <v>24000</v>
      </c>
      <c r="T257" s="12"/>
      <c r="U257" s="153">
        <v>1</v>
      </c>
      <c r="V257" s="180">
        <f t="shared" si="20"/>
        <v>0</v>
      </c>
    </row>
    <row r="258" spans="1:22" x14ac:dyDescent="0.25">
      <c r="A258" s="17">
        <f t="shared" si="16"/>
        <v>246</v>
      </c>
      <c r="B258" s="17">
        <f t="shared" si="17"/>
        <v>246</v>
      </c>
      <c r="C258" s="62" t="s">
        <v>53</v>
      </c>
      <c r="D258" s="18" t="s">
        <v>187</v>
      </c>
      <c r="E258" s="13">
        <f t="shared" si="22"/>
        <v>447467.5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>
        <v>423467.5</v>
      </c>
      <c r="S258" s="13">
        <v>24000</v>
      </c>
      <c r="T258" s="12"/>
      <c r="U258" s="153">
        <v>1</v>
      </c>
      <c r="V258" s="180">
        <f t="shared" si="20"/>
        <v>0</v>
      </c>
    </row>
    <row r="259" spans="1:22" x14ac:dyDescent="0.25">
      <c r="A259" s="17">
        <f t="shared" si="16"/>
        <v>247</v>
      </c>
      <c r="B259" s="17">
        <f t="shared" si="17"/>
        <v>247</v>
      </c>
      <c r="C259" s="62" t="s">
        <v>53</v>
      </c>
      <c r="D259" s="18" t="s">
        <v>188</v>
      </c>
      <c r="E259" s="13">
        <f t="shared" si="22"/>
        <v>330031.41000000003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>
        <v>306031.41000000003</v>
      </c>
      <c r="S259" s="13">
        <v>24000</v>
      </c>
      <c r="T259" s="12"/>
      <c r="U259" s="153">
        <v>1</v>
      </c>
      <c r="V259" s="180">
        <f t="shared" si="20"/>
        <v>0</v>
      </c>
    </row>
    <row r="260" spans="1:22" x14ac:dyDescent="0.25">
      <c r="A260" s="17">
        <f t="shared" si="16"/>
        <v>248</v>
      </c>
      <c r="B260" s="17">
        <f t="shared" si="17"/>
        <v>248</v>
      </c>
      <c r="C260" s="62" t="s">
        <v>53</v>
      </c>
      <c r="D260" s="18" t="s">
        <v>189</v>
      </c>
      <c r="E260" s="13">
        <f t="shared" si="22"/>
        <v>489810.22000000009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>
        <v>479810.22000000009</v>
      </c>
      <c r="S260" s="13">
        <v>10000</v>
      </c>
      <c r="T260" s="12"/>
      <c r="U260" s="153">
        <v>1</v>
      </c>
      <c r="V260" s="180">
        <f t="shared" si="20"/>
        <v>0</v>
      </c>
    </row>
    <row r="261" spans="1:22" x14ac:dyDescent="0.25">
      <c r="A261" s="17">
        <f t="shared" si="16"/>
        <v>249</v>
      </c>
      <c r="B261" s="17">
        <f t="shared" si="17"/>
        <v>249</v>
      </c>
      <c r="C261" s="62" t="s">
        <v>53</v>
      </c>
      <c r="D261" s="18" t="s">
        <v>190</v>
      </c>
      <c r="E261" s="13">
        <f t="shared" si="22"/>
        <v>265087.77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>
        <v>255087.77000000002</v>
      </c>
      <c r="S261" s="13">
        <v>10000</v>
      </c>
      <c r="T261" s="12"/>
      <c r="U261" s="153">
        <v>1</v>
      </c>
      <c r="V261" s="180">
        <f t="shared" si="20"/>
        <v>0</v>
      </c>
    </row>
    <row r="262" spans="1:22" x14ac:dyDescent="0.25">
      <c r="A262" s="17">
        <f t="shared" si="16"/>
        <v>250</v>
      </c>
      <c r="B262" s="17">
        <f t="shared" si="17"/>
        <v>250</v>
      </c>
      <c r="C262" s="62" t="s">
        <v>53</v>
      </c>
      <c r="D262" s="18" t="s">
        <v>191</v>
      </c>
      <c r="E262" s="13">
        <f t="shared" si="22"/>
        <v>151227.33000000002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>
        <v>143227.33000000002</v>
      </c>
      <c r="S262" s="13">
        <v>8000</v>
      </c>
      <c r="T262" s="12"/>
      <c r="U262" s="153">
        <v>1</v>
      </c>
      <c r="V262" s="180">
        <f t="shared" si="20"/>
        <v>0</v>
      </c>
    </row>
    <row r="263" spans="1:22" x14ac:dyDescent="0.25">
      <c r="A263" s="17">
        <f t="shared" si="16"/>
        <v>251</v>
      </c>
      <c r="B263" s="17">
        <f t="shared" si="17"/>
        <v>251</v>
      </c>
      <c r="C263" s="62" t="s">
        <v>53</v>
      </c>
      <c r="D263" s="18" t="s">
        <v>192</v>
      </c>
      <c r="E263" s="13">
        <f t="shared" si="22"/>
        <v>347385.10000000003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>
        <v>335385.10000000003</v>
      </c>
      <c r="S263" s="13">
        <v>12000</v>
      </c>
      <c r="T263" s="12"/>
      <c r="U263" s="153">
        <v>1</v>
      </c>
      <c r="V263" s="180">
        <f t="shared" si="20"/>
        <v>0</v>
      </c>
    </row>
    <row r="264" spans="1:22" x14ac:dyDescent="0.25">
      <c r="A264" s="17">
        <f t="shared" si="16"/>
        <v>252</v>
      </c>
      <c r="B264" s="17">
        <f t="shared" si="17"/>
        <v>252</v>
      </c>
      <c r="C264" s="62" t="s">
        <v>64</v>
      </c>
      <c r="D264" s="18" t="s">
        <v>193</v>
      </c>
      <c r="E264" s="13">
        <f t="shared" si="22"/>
        <v>228991.22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>
        <v>218991.22</v>
      </c>
      <c r="S264" s="13">
        <v>10000</v>
      </c>
      <c r="T264" s="12"/>
      <c r="U264" s="153">
        <v>1</v>
      </c>
      <c r="V264" s="180">
        <f t="shared" si="20"/>
        <v>0</v>
      </c>
    </row>
    <row r="265" spans="1:22" x14ac:dyDescent="0.25">
      <c r="A265" s="17">
        <f t="shared" si="16"/>
        <v>253</v>
      </c>
      <c r="B265" s="17">
        <f t="shared" si="17"/>
        <v>253</v>
      </c>
      <c r="C265" s="62" t="s">
        <v>64</v>
      </c>
      <c r="D265" s="18" t="s">
        <v>194</v>
      </c>
      <c r="E265" s="13">
        <f t="shared" si="22"/>
        <v>243246.87000000002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>
        <v>233246.87000000002</v>
      </c>
      <c r="S265" s="13">
        <v>10000</v>
      </c>
      <c r="T265" s="12"/>
      <c r="U265" s="153">
        <v>1</v>
      </c>
      <c r="V265" s="180">
        <f t="shared" si="20"/>
        <v>0</v>
      </c>
    </row>
    <row r="266" spans="1:22" x14ac:dyDescent="0.25">
      <c r="A266" s="17">
        <f t="shared" si="16"/>
        <v>254</v>
      </c>
      <c r="B266" s="17">
        <f t="shared" si="17"/>
        <v>254</v>
      </c>
      <c r="C266" s="62" t="s">
        <v>64</v>
      </c>
      <c r="D266" s="18" t="s">
        <v>195</v>
      </c>
      <c r="E266" s="13">
        <f t="shared" si="22"/>
        <v>247222.07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>
        <v>223222.07</v>
      </c>
      <c r="S266" s="13">
        <v>24000</v>
      </c>
      <c r="T266" s="12"/>
      <c r="U266" s="153">
        <v>1</v>
      </c>
      <c r="V266" s="180">
        <f t="shared" si="20"/>
        <v>0</v>
      </c>
    </row>
    <row r="267" spans="1:22" x14ac:dyDescent="0.25">
      <c r="A267" s="17">
        <f t="shared" si="16"/>
        <v>255</v>
      </c>
      <c r="B267" s="17">
        <f t="shared" si="17"/>
        <v>255</v>
      </c>
      <c r="C267" s="62" t="s">
        <v>64</v>
      </c>
      <c r="D267" s="18" t="s">
        <v>196</v>
      </c>
      <c r="E267" s="13">
        <f t="shared" si="22"/>
        <v>249477.59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>
        <v>225477.59</v>
      </c>
      <c r="S267" s="13">
        <v>24000</v>
      </c>
      <c r="T267" s="12"/>
      <c r="U267" s="153">
        <v>1</v>
      </c>
      <c r="V267" s="180">
        <f t="shared" si="20"/>
        <v>0</v>
      </c>
    </row>
    <row r="268" spans="1:22" x14ac:dyDescent="0.25">
      <c r="A268" s="17">
        <f t="shared" si="16"/>
        <v>256</v>
      </c>
      <c r="B268" s="17">
        <f t="shared" si="17"/>
        <v>256</v>
      </c>
      <c r="C268" s="62" t="s">
        <v>64</v>
      </c>
      <c r="D268" s="18" t="s">
        <v>197</v>
      </c>
      <c r="E268" s="13">
        <f t="shared" si="22"/>
        <v>249497.74000000005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>
        <v>225497.74000000005</v>
      </c>
      <c r="S268" s="13">
        <v>24000</v>
      </c>
      <c r="T268" s="12"/>
      <c r="U268" s="153">
        <v>1</v>
      </c>
      <c r="V268" s="180">
        <f t="shared" si="20"/>
        <v>0</v>
      </c>
    </row>
    <row r="269" spans="1:22" x14ac:dyDescent="0.25">
      <c r="A269" s="17">
        <f t="shared" si="16"/>
        <v>257</v>
      </c>
      <c r="B269" s="17">
        <f t="shared" si="17"/>
        <v>257</v>
      </c>
      <c r="C269" s="62" t="s">
        <v>64</v>
      </c>
      <c r="D269" s="62" t="s">
        <v>559</v>
      </c>
      <c r="E269" s="13">
        <f t="shared" si="22"/>
        <v>24000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>
        <v>24000</v>
      </c>
      <c r="T269" s="12"/>
      <c r="V269" s="180">
        <f t="shared" si="20"/>
        <v>0</v>
      </c>
    </row>
    <row r="270" spans="1:22" x14ac:dyDescent="0.25">
      <c r="A270" s="17">
        <f t="shared" si="16"/>
        <v>258</v>
      </c>
      <c r="B270" s="17">
        <f t="shared" si="17"/>
        <v>258</v>
      </c>
      <c r="C270" s="62" t="s">
        <v>54</v>
      </c>
      <c r="D270" s="18" t="s">
        <v>198</v>
      </c>
      <c r="E270" s="13">
        <f t="shared" si="22"/>
        <v>361702.52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>
        <v>351702.52</v>
      </c>
      <c r="S270" s="13">
        <v>10000</v>
      </c>
      <c r="T270" s="12"/>
      <c r="U270" s="153">
        <v>1</v>
      </c>
      <c r="V270" s="180">
        <f t="shared" si="20"/>
        <v>0</v>
      </c>
    </row>
    <row r="271" spans="1:22" x14ac:dyDescent="0.25">
      <c r="A271" s="17">
        <f t="shared" ref="A271:A334" si="23">+A270+1</f>
        <v>259</v>
      </c>
      <c r="B271" s="17">
        <f t="shared" ref="B271:B334" si="24">+B270+1</f>
        <v>259</v>
      </c>
      <c r="C271" s="62" t="s">
        <v>54</v>
      </c>
      <c r="D271" s="18" t="s">
        <v>199</v>
      </c>
      <c r="E271" s="13">
        <f t="shared" si="22"/>
        <v>267536.37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>
        <v>257536.37</v>
      </c>
      <c r="S271" s="13">
        <v>10000</v>
      </c>
      <c r="T271" s="12"/>
      <c r="U271" s="153">
        <v>1</v>
      </c>
      <c r="V271" s="180">
        <f t="shared" si="20"/>
        <v>0</v>
      </c>
    </row>
    <row r="272" spans="1:22" x14ac:dyDescent="0.25">
      <c r="A272" s="17">
        <f t="shared" si="23"/>
        <v>260</v>
      </c>
      <c r="B272" s="17">
        <f t="shared" si="24"/>
        <v>260</v>
      </c>
      <c r="C272" s="62" t="s">
        <v>54</v>
      </c>
      <c r="D272" s="18" t="s">
        <v>200</v>
      </c>
      <c r="E272" s="13">
        <f t="shared" si="22"/>
        <v>106870.23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>
        <v>98870.23</v>
      </c>
      <c r="S272" s="13">
        <v>8000</v>
      </c>
      <c r="T272" s="12"/>
      <c r="U272" s="153">
        <v>1</v>
      </c>
      <c r="V272" s="180">
        <f t="shared" si="20"/>
        <v>0</v>
      </c>
    </row>
    <row r="273" spans="1:22" x14ac:dyDescent="0.25">
      <c r="A273" s="17">
        <f t="shared" si="23"/>
        <v>261</v>
      </c>
      <c r="B273" s="17">
        <f t="shared" si="24"/>
        <v>261</v>
      </c>
      <c r="C273" s="62" t="s">
        <v>55</v>
      </c>
      <c r="D273" s="18" t="s">
        <v>201</v>
      </c>
      <c r="E273" s="13">
        <f t="shared" si="22"/>
        <v>159665.22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>
        <v>135665.22</v>
      </c>
      <c r="S273" s="13">
        <v>24000</v>
      </c>
      <c r="T273" s="12"/>
      <c r="U273" s="153">
        <v>1</v>
      </c>
      <c r="V273" s="180">
        <f t="shared" si="20"/>
        <v>0</v>
      </c>
    </row>
    <row r="274" spans="1:22" x14ac:dyDescent="0.25">
      <c r="A274" s="17">
        <f t="shared" si="23"/>
        <v>262</v>
      </c>
      <c r="B274" s="17">
        <f t="shared" si="24"/>
        <v>262</v>
      </c>
      <c r="C274" s="62" t="s">
        <v>55</v>
      </c>
      <c r="D274" s="18" t="s">
        <v>471</v>
      </c>
      <c r="E274" s="13">
        <f t="shared" si="22"/>
        <v>295192.57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>
        <v>285192.57</v>
      </c>
      <c r="S274" s="13">
        <v>10000</v>
      </c>
      <c r="T274" s="12"/>
      <c r="U274" s="153">
        <v>1</v>
      </c>
      <c r="V274" s="180">
        <f t="shared" si="20"/>
        <v>0</v>
      </c>
    </row>
    <row r="275" spans="1:22" x14ac:dyDescent="0.25">
      <c r="A275" s="17">
        <f t="shared" si="23"/>
        <v>263</v>
      </c>
      <c r="B275" s="17">
        <f t="shared" si="24"/>
        <v>263</v>
      </c>
      <c r="C275" s="62" t="s">
        <v>55</v>
      </c>
      <c r="D275" s="18" t="s">
        <v>472</v>
      </c>
      <c r="E275" s="13">
        <f t="shared" si="22"/>
        <v>490976.17999999993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>
        <v>478976.17999999993</v>
      </c>
      <c r="S275" s="13">
        <v>12000</v>
      </c>
      <c r="T275" s="12"/>
      <c r="U275" s="153">
        <v>1</v>
      </c>
      <c r="V275" s="180">
        <f t="shared" si="20"/>
        <v>0</v>
      </c>
    </row>
    <row r="276" spans="1:22" x14ac:dyDescent="0.25">
      <c r="A276" s="17">
        <f t="shared" si="23"/>
        <v>264</v>
      </c>
      <c r="B276" s="17">
        <f t="shared" si="24"/>
        <v>264</v>
      </c>
      <c r="C276" s="62" t="s">
        <v>55</v>
      </c>
      <c r="D276" s="18" t="s">
        <v>473</v>
      </c>
      <c r="E276" s="13">
        <f t="shared" si="22"/>
        <v>525619.65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>
        <v>513619.65</v>
      </c>
      <c r="S276" s="13">
        <v>12000</v>
      </c>
      <c r="T276" s="12"/>
      <c r="U276" s="183">
        <v>1</v>
      </c>
      <c r="V276" s="180">
        <f t="shared" si="20"/>
        <v>0</v>
      </c>
    </row>
    <row r="277" spans="1:22" x14ac:dyDescent="0.25">
      <c r="A277" s="17">
        <f t="shared" si="23"/>
        <v>265</v>
      </c>
      <c r="B277" s="17">
        <f t="shared" si="24"/>
        <v>265</v>
      </c>
      <c r="C277" s="62" t="s">
        <v>55</v>
      </c>
      <c r="D277" s="18" t="s">
        <v>474</v>
      </c>
      <c r="E277" s="13">
        <f t="shared" si="22"/>
        <v>935051.49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>
        <v>923051.49</v>
      </c>
      <c r="S277" s="13">
        <v>12000</v>
      </c>
      <c r="T277" s="12"/>
      <c r="U277" s="183">
        <v>1</v>
      </c>
      <c r="V277" s="180">
        <f t="shared" si="20"/>
        <v>0</v>
      </c>
    </row>
    <row r="278" spans="1:22" x14ac:dyDescent="0.25">
      <c r="A278" s="17">
        <f t="shared" si="23"/>
        <v>266</v>
      </c>
      <c r="B278" s="17">
        <f t="shared" si="24"/>
        <v>266</v>
      </c>
      <c r="C278" s="62" t="s">
        <v>55</v>
      </c>
      <c r="D278" s="18" t="s">
        <v>202</v>
      </c>
      <c r="E278" s="13">
        <f t="shared" si="22"/>
        <v>136292.94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>
        <v>112292.94</v>
      </c>
      <c r="S278" s="13">
        <v>24000</v>
      </c>
      <c r="T278" s="12"/>
      <c r="U278" s="153">
        <v>1</v>
      </c>
      <c r="V278" s="180">
        <f t="shared" si="20"/>
        <v>0</v>
      </c>
    </row>
    <row r="279" spans="1:22" x14ac:dyDescent="0.25">
      <c r="A279" s="17">
        <f t="shared" si="23"/>
        <v>267</v>
      </c>
      <c r="B279" s="17">
        <f t="shared" si="24"/>
        <v>267</v>
      </c>
      <c r="C279" s="62" t="s">
        <v>55</v>
      </c>
      <c r="D279" s="18" t="s">
        <v>203</v>
      </c>
      <c r="E279" s="13">
        <f t="shared" si="22"/>
        <v>134720.23000000001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>
        <v>110720.23000000001</v>
      </c>
      <c r="S279" s="13">
        <v>24000</v>
      </c>
      <c r="T279" s="12"/>
      <c r="U279" s="153">
        <v>1</v>
      </c>
      <c r="V279" s="180">
        <f t="shared" si="20"/>
        <v>0</v>
      </c>
    </row>
    <row r="280" spans="1:22" x14ac:dyDescent="0.25">
      <c r="A280" s="17">
        <f t="shared" si="23"/>
        <v>268</v>
      </c>
      <c r="B280" s="17">
        <f t="shared" si="24"/>
        <v>268</v>
      </c>
      <c r="C280" s="62" t="s">
        <v>55</v>
      </c>
      <c r="D280" s="62" t="s">
        <v>372</v>
      </c>
      <c r="E280" s="13">
        <f t="shared" si="22"/>
        <v>519241.49000000005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>
        <v>471241.49000000005</v>
      </c>
      <c r="S280" s="13">
        <v>48000</v>
      </c>
      <c r="T280" s="12"/>
      <c r="V280" s="180">
        <f t="shared" si="20"/>
        <v>0</v>
      </c>
    </row>
    <row r="281" spans="1:22" x14ac:dyDescent="0.25">
      <c r="A281" s="17">
        <f t="shared" si="23"/>
        <v>269</v>
      </c>
      <c r="B281" s="17">
        <f t="shared" si="24"/>
        <v>269</v>
      </c>
      <c r="C281" s="62" t="s">
        <v>55</v>
      </c>
      <c r="D281" s="62" t="s">
        <v>373</v>
      </c>
      <c r="E281" s="13">
        <f t="shared" si="22"/>
        <v>695202.3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>
        <v>647202.30000000005</v>
      </c>
      <c r="S281" s="13">
        <v>48000</v>
      </c>
      <c r="T281" s="12"/>
      <c r="V281" s="180">
        <f t="shared" si="20"/>
        <v>0</v>
      </c>
    </row>
    <row r="282" spans="1:22" x14ac:dyDescent="0.25">
      <c r="A282" s="17">
        <f t="shared" si="23"/>
        <v>270</v>
      </c>
      <c r="B282" s="17">
        <f t="shared" si="24"/>
        <v>270</v>
      </c>
      <c r="C282" s="62" t="s">
        <v>55</v>
      </c>
      <c r="D282" s="18" t="s">
        <v>204</v>
      </c>
      <c r="E282" s="13">
        <f t="shared" si="22"/>
        <v>363410.07</v>
      </c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>
        <v>339410.07</v>
      </c>
      <c r="S282" s="13">
        <v>24000</v>
      </c>
      <c r="T282" s="12"/>
      <c r="U282" s="153">
        <v>1</v>
      </c>
      <c r="V282" s="180">
        <f t="shared" si="20"/>
        <v>0</v>
      </c>
    </row>
    <row r="283" spans="1:22" x14ac:dyDescent="0.25">
      <c r="A283" s="17">
        <f t="shared" si="23"/>
        <v>271</v>
      </c>
      <c r="B283" s="17">
        <f t="shared" si="24"/>
        <v>271</v>
      </c>
      <c r="C283" s="62" t="s">
        <v>55</v>
      </c>
      <c r="D283" s="18" t="s">
        <v>205</v>
      </c>
      <c r="E283" s="13">
        <f t="shared" si="22"/>
        <v>176664.86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>
        <v>152664.85999999999</v>
      </c>
      <c r="S283" s="13">
        <v>24000</v>
      </c>
      <c r="T283" s="12"/>
      <c r="U283" s="153">
        <v>1</v>
      </c>
      <c r="V283" s="180">
        <f t="shared" si="20"/>
        <v>0</v>
      </c>
    </row>
    <row r="284" spans="1:22" x14ac:dyDescent="0.25">
      <c r="A284" s="17">
        <f t="shared" si="23"/>
        <v>272</v>
      </c>
      <c r="B284" s="17">
        <f t="shared" si="24"/>
        <v>272</v>
      </c>
      <c r="C284" s="62" t="s">
        <v>55</v>
      </c>
      <c r="D284" s="18" t="s">
        <v>369</v>
      </c>
      <c r="E284" s="13">
        <f t="shared" si="22"/>
        <v>302018.38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>
        <v>278018.38</v>
      </c>
      <c r="S284" s="13">
        <v>24000</v>
      </c>
      <c r="T284" s="12"/>
      <c r="U284" s="153">
        <v>1</v>
      </c>
      <c r="V284" s="180">
        <f t="shared" si="20"/>
        <v>0</v>
      </c>
    </row>
    <row r="285" spans="1:22" x14ac:dyDescent="0.25">
      <c r="A285" s="17">
        <f t="shared" si="23"/>
        <v>273</v>
      </c>
      <c r="B285" s="17">
        <f t="shared" si="24"/>
        <v>273</v>
      </c>
      <c r="C285" s="62" t="s">
        <v>55</v>
      </c>
      <c r="D285" s="18" t="s">
        <v>370</v>
      </c>
      <c r="E285" s="13">
        <f t="shared" si="22"/>
        <v>143935.49000000002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>
        <v>119935.49000000002</v>
      </c>
      <c r="S285" s="13">
        <v>24000</v>
      </c>
      <c r="T285" s="12"/>
      <c r="U285" s="153">
        <v>1</v>
      </c>
      <c r="V285" s="180">
        <f t="shared" si="20"/>
        <v>0</v>
      </c>
    </row>
    <row r="286" spans="1:22" x14ac:dyDescent="0.25">
      <c r="A286" s="17">
        <f t="shared" si="23"/>
        <v>274</v>
      </c>
      <c r="B286" s="17">
        <f t="shared" si="24"/>
        <v>274</v>
      </c>
      <c r="C286" s="62" t="s">
        <v>55</v>
      </c>
      <c r="D286" s="18" t="s">
        <v>371</v>
      </c>
      <c r="E286" s="13">
        <f t="shared" si="22"/>
        <v>130555.51999999999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>
        <v>106555.51999999999</v>
      </c>
      <c r="S286" s="13">
        <v>24000</v>
      </c>
      <c r="T286" s="12"/>
      <c r="U286" s="153">
        <v>1</v>
      </c>
      <c r="V286" s="180">
        <f t="shared" si="20"/>
        <v>0</v>
      </c>
    </row>
    <row r="287" spans="1:22" x14ac:dyDescent="0.25">
      <c r="A287" s="17">
        <f t="shared" si="23"/>
        <v>275</v>
      </c>
      <c r="B287" s="17">
        <f t="shared" si="24"/>
        <v>275</v>
      </c>
      <c r="C287" s="62" t="s">
        <v>55</v>
      </c>
      <c r="D287" s="18" t="s">
        <v>374</v>
      </c>
      <c r="E287" s="13">
        <f t="shared" si="22"/>
        <v>303189.93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>
        <v>279189.93</v>
      </c>
      <c r="S287" s="13">
        <v>24000</v>
      </c>
      <c r="T287" s="12"/>
      <c r="U287" s="153">
        <v>1</v>
      </c>
      <c r="V287" s="180">
        <f t="shared" si="20"/>
        <v>0</v>
      </c>
    </row>
    <row r="288" spans="1:22" x14ac:dyDescent="0.25">
      <c r="A288" s="17">
        <f t="shared" si="23"/>
        <v>276</v>
      </c>
      <c r="B288" s="17">
        <f t="shared" si="24"/>
        <v>276</v>
      </c>
      <c r="C288" s="62" t="s">
        <v>55</v>
      </c>
      <c r="D288" s="18" t="s">
        <v>375</v>
      </c>
      <c r="E288" s="13">
        <f t="shared" si="22"/>
        <v>171877.99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>
        <v>147877.99</v>
      </c>
      <c r="S288" s="13">
        <v>24000</v>
      </c>
      <c r="T288" s="12"/>
      <c r="U288" s="153">
        <v>1</v>
      </c>
      <c r="V288" s="180">
        <f t="shared" si="20"/>
        <v>0</v>
      </c>
    </row>
    <row r="289" spans="1:22" x14ac:dyDescent="0.25">
      <c r="A289" s="17">
        <f t="shared" si="23"/>
        <v>277</v>
      </c>
      <c r="B289" s="17">
        <f t="shared" si="24"/>
        <v>277</v>
      </c>
      <c r="C289" s="62" t="s">
        <v>55</v>
      </c>
      <c r="D289" s="18" t="s">
        <v>207</v>
      </c>
      <c r="E289" s="13">
        <f t="shared" si="22"/>
        <v>272770.56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>
        <v>224770.56</v>
      </c>
      <c r="S289" s="13">
        <v>48000</v>
      </c>
      <c r="T289" s="12"/>
      <c r="U289" s="153">
        <v>1</v>
      </c>
      <c r="V289" s="180">
        <f t="shared" si="20"/>
        <v>0</v>
      </c>
    </row>
    <row r="290" spans="1:22" x14ac:dyDescent="0.25">
      <c r="A290" s="17">
        <f t="shared" si="23"/>
        <v>278</v>
      </c>
      <c r="B290" s="17">
        <f t="shared" si="24"/>
        <v>278</v>
      </c>
      <c r="C290" s="62" t="s">
        <v>55</v>
      </c>
      <c r="D290" s="18" t="s">
        <v>376</v>
      </c>
      <c r="E290" s="13">
        <f t="shared" si="22"/>
        <v>403501.25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>
        <v>379501.25</v>
      </c>
      <c r="S290" s="13">
        <v>24000</v>
      </c>
      <c r="T290" s="12"/>
      <c r="U290" s="153">
        <v>1</v>
      </c>
      <c r="V290" s="180">
        <f t="shared" si="20"/>
        <v>0</v>
      </c>
    </row>
    <row r="291" spans="1:22" x14ac:dyDescent="0.25">
      <c r="A291" s="17">
        <f t="shared" si="23"/>
        <v>279</v>
      </c>
      <c r="B291" s="17">
        <f t="shared" si="24"/>
        <v>279</v>
      </c>
      <c r="C291" s="62" t="s">
        <v>55</v>
      </c>
      <c r="D291" s="18" t="s">
        <v>377</v>
      </c>
      <c r="E291" s="13">
        <f t="shared" si="22"/>
        <v>261102.09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>
        <v>237102.09</v>
      </c>
      <c r="S291" s="13">
        <v>24000</v>
      </c>
      <c r="T291" s="12"/>
      <c r="U291" s="153">
        <v>1</v>
      </c>
      <c r="V291" s="180">
        <f t="shared" si="20"/>
        <v>0</v>
      </c>
    </row>
    <row r="292" spans="1:22" x14ac:dyDescent="0.25">
      <c r="A292" s="17">
        <f t="shared" si="23"/>
        <v>280</v>
      </c>
      <c r="B292" s="17">
        <f t="shared" si="24"/>
        <v>280</v>
      </c>
      <c r="C292" s="62" t="s">
        <v>55</v>
      </c>
      <c r="D292" s="18" t="s">
        <v>206</v>
      </c>
      <c r="E292" s="13">
        <f t="shared" si="22"/>
        <v>757264.42999999993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>
        <v>733264.42999999993</v>
      </c>
      <c r="S292" s="13">
        <v>24000</v>
      </c>
      <c r="T292" s="12"/>
      <c r="U292" s="153">
        <v>1</v>
      </c>
      <c r="V292" s="180">
        <f t="shared" si="20"/>
        <v>0</v>
      </c>
    </row>
    <row r="293" spans="1:22" x14ac:dyDescent="0.25">
      <c r="A293" s="17">
        <f t="shared" si="23"/>
        <v>281</v>
      </c>
      <c r="B293" s="17">
        <f t="shared" si="24"/>
        <v>281</v>
      </c>
      <c r="C293" s="62" t="s">
        <v>55</v>
      </c>
      <c r="D293" s="18" t="s">
        <v>208</v>
      </c>
      <c r="E293" s="13">
        <f t="shared" si="22"/>
        <v>247238.84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>
        <v>223238.84</v>
      </c>
      <c r="S293" s="13">
        <v>24000</v>
      </c>
      <c r="T293" s="12"/>
      <c r="U293" s="153">
        <v>1</v>
      </c>
      <c r="V293" s="180">
        <f t="shared" si="20"/>
        <v>0</v>
      </c>
    </row>
    <row r="294" spans="1:22" x14ac:dyDescent="0.25">
      <c r="A294" s="17">
        <f t="shared" si="23"/>
        <v>282</v>
      </c>
      <c r="B294" s="17">
        <f t="shared" si="24"/>
        <v>282</v>
      </c>
      <c r="C294" s="62" t="s">
        <v>55</v>
      </c>
      <c r="D294" s="18" t="s">
        <v>209</v>
      </c>
      <c r="E294" s="13">
        <f t="shared" si="22"/>
        <v>142668.31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>
        <v>118668.31</v>
      </c>
      <c r="S294" s="13">
        <v>24000</v>
      </c>
      <c r="T294" s="12"/>
      <c r="U294" s="153">
        <v>1</v>
      </c>
      <c r="V294" s="180">
        <f t="shared" ref="V294:V316" si="25">+E294-R294-S294</f>
        <v>0</v>
      </c>
    </row>
    <row r="295" spans="1:22" x14ac:dyDescent="0.25">
      <c r="A295" s="17">
        <f t="shared" si="23"/>
        <v>283</v>
      </c>
      <c r="B295" s="17">
        <f t="shared" si="24"/>
        <v>283</v>
      </c>
      <c r="C295" s="62" t="s">
        <v>55</v>
      </c>
      <c r="D295" s="18" t="s">
        <v>210</v>
      </c>
      <c r="E295" s="13">
        <f t="shared" si="22"/>
        <v>644876.55000000005</v>
      </c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>
        <v>620876.55000000005</v>
      </c>
      <c r="S295" s="13">
        <v>24000</v>
      </c>
      <c r="T295" s="12"/>
      <c r="U295" s="153">
        <v>1</v>
      </c>
      <c r="V295" s="180">
        <f t="shared" si="25"/>
        <v>0</v>
      </c>
    </row>
    <row r="296" spans="1:22" x14ac:dyDescent="0.25">
      <c r="A296" s="17">
        <f t="shared" si="23"/>
        <v>284</v>
      </c>
      <c r="B296" s="17">
        <f t="shared" si="24"/>
        <v>284</v>
      </c>
      <c r="C296" s="62" t="s">
        <v>475</v>
      </c>
      <c r="D296" s="18" t="s">
        <v>560</v>
      </c>
      <c r="E296" s="13">
        <f t="shared" si="22"/>
        <v>165696.95999999999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>
        <v>141696.95999999999</v>
      </c>
      <c r="S296" s="13">
        <v>24000</v>
      </c>
      <c r="T296" s="12"/>
      <c r="U296" s="183">
        <v>1</v>
      </c>
      <c r="V296" s="180">
        <f t="shared" si="25"/>
        <v>0</v>
      </c>
    </row>
    <row r="297" spans="1:22" x14ac:dyDescent="0.25">
      <c r="A297" s="17">
        <f t="shared" si="23"/>
        <v>285</v>
      </c>
      <c r="B297" s="17">
        <f t="shared" si="24"/>
        <v>285</v>
      </c>
      <c r="C297" s="62" t="s">
        <v>65</v>
      </c>
      <c r="D297" s="18" t="s">
        <v>211</v>
      </c>
      <c r="E297" s="13">
        <f t="shared" si="22"/>
        <v>268177.34059008001</v>
      </c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>
        <v>244177.34059008001</v>
      </c>
      <c r="S297" s="13">
        <v>24000</v>
      </c>
      <c r="T297" s="12"/>
      <c r="U297" s="153">
        <v>1</v>
      </c>
      <c r="V297" s="180">
        <f t="shared" si="25"/>
        <v>0</v>
      </c>
    </row>
    <row r="298" spans="1:22" x14ac:dyDescent="0.25">
      <c r="A298" s="17">
        <f t="shared" si="23"/>
        <v>286</v>
      </c>
      <c r="B298" s="17">
        <f t="shared" si="24"/>
        <v>286</v>
      </c>
      <c r="C298" s="62" t="s">
        <v>65</v>
      </c>
      <c r="D298" s="18" t="s">
        <v>212</v>
      </c>
      <c r="E298" s="13">
        <f t="shared" si="22"/>
        <v>226580.60883839999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>
        <v>202580.60883839999</v>
      </c>
      <c r="S298" s="13">
        <v>24000</v>
      </c>
      <c r="T298" s="12"/>
      <c r="U298" s="153">
        <v>1</v>
      </c>
      <c r="V298" s="180">
        <f t="shared" si="25"/>
        <v>0</v>
      </c>
    </row>
    <row r="299" spans="1:22" x14ac:dyDescent="0.25">
      <c r="A299" s="17">
        <f t="shared" si="23"/>
        <v>287</v>
      </c>
      <c r="B299" s="17">
        <f t="shared" si="24"/>
        <v>287</v>
      </c>
      <c r="C299" s="62" t="s">
        <v>65</v>
      </c>
      <c r="D299" s="18" t="s">
        <v>213</v>
      </c>
      <c r="E299" s="13">
        <f t="shared" ref="E299:E324" si="26">SUM(F299:T299)</f>
        <v>221565.7494528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>
        <v>197565.7494528</v>
      </c>
      <c r="S299" s="13">
        <v>24000</v>
      </c>
      <c r="T299" s="12"/>
      <c r="U299" s="153">
        <v>1</v>
      </c>
      <c r="V299" s="180">
        <f t="shared" si="25"/>
        <v>0</v>
      </c>
    </row>
    <row r="300" spans="1:22" x14ac:dyDescent="0.25">
      <c r="A300" s="17">
        <f t="shared" si="23"/>
        <v>288</v>
      </c>
      <c r="B300" s="17">
        <f t="shared" si="24"/>
        <v>288</v>
      </c>
      <c r="C300" s="62" t="s">
        <v>65</v>
      </c>
      <c r="D300" s="18" t="s">
        <v>214</v>
      </c>
      <c r="E300" s="13">
        <f t="shared" si="26"/>
        <v>287712.29393664002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>
        <v>263712.29393664002</v>
      </c>
      <c r="S300" s="13">
        <v>24000</v>
      </c>
      <c r="T300" s="12"/>
      <c r="U300" s="153">
        <v>1</v>
      </c>
      <c r="V300" s="180">
        <f t="shared" si="25"/>
        <v>0</v>
      </c>
    </row>
    <row r="301" spans="1:22" x14ac:dyDescent="0.25">
      <c r="A301" s="17">
        <f t="shared" si="23"/>
        <v>289</v>
      </c>
      <c r="B301" s="17">
        <f t="shared" si="24"/>
        <v>289</v>
      </c>
      <c r="C301" s="62" t="s">
        <v>65</v>
      </c>
      <c r="D301" s="18" t="s">
        <v>215</v>
      </c>
      <c r="E301" s="13">
        <f t="shared" si="26"/>
        <v>277763.57585664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>
        <v>253763.57585664</v>
      </c>
      <c r="S301" s="13">
        <v>24000</v>
      </c>
      <c r="T301" s="12"/>
      <c r="U301" s="153">
        <v>1</v>
      </c>
      <c r="V301" s="180">
        <f t="shared" si="25"/>
        <v>0</v>
      </c>
    </row>
    <row r="302" spans="1:22" x14ac:dyDescent="0.25">
      <c r="A302" s="17">
        <f t="shared" si="23"/>
        <v>290</v>
      </c>
      <c r="B302" s="17">
        <f t="shared" si="24"/>
        <v>290</v>
      </c>
      <c r="C302" s="62" t="s">
        <v>65</v>
      </c>
      <c r="D302" s="18" t="s">
        <v>216</v>
      </c>
      <c r="E302" s="13">
        <f t="shared" si="26"/>
        <v>218024.09335680003</v>
      </c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>
        <v>194024.09335680003</v>
      </c>
      <c r="S302" s="13">
        <v>24000</v>
      </c>
      <c r="T302" s="12"/>
      <c r="U302" s="153">
        <v>1</v>
      </c>
      <c r="V302" s="180">
        <f t="shared" si="25"/>
        <v>0</v>
      </c>
    </row>
    <row r="303" spans="1:22" x14ac:dyDescent="0.25">
      <c r="A303" s="17">
        <f t="shared" si="23"/>
        <v>291</v>
      </c>
      <c r="B303" s="17">
        <f t="shared" si="24"/>
        <v>291</v>
      </c>
      <c r="C303" s="62" t="s">
        <v>65</v>
      </c>
      <c r="D303" s="18" t="s">
        <v>217</v>
      </c>
      <c r="E303" s="13">
        <f t="shared" si="26"/>
        <v>394760.17777919996</v>
      </c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>
        <v>370760.17777919996</v>
      </c>
      <c r="S303" s="13">
        <v>24000</v>
      </c>
      <c r="T303" s="12"/>
      <c r="U303" s="153">
        <v>1</v>
      </c>
      <c r="V303" s="180">
        <f t="shared" si="25"/>
        <v>0</v>
      </c>
    </row>
    <row r="304" spans="1:22" x14ac:dyDescent="0.25">
      <c r="A304" s="17">
        <f t="shared" si="23"/>
        <v>292</v>
      </c>
      <c r="B304" s="17">
        <f t="shared" si="24"/>
        <v>292</v>
      </c>
      <c r="C304" s="62" t="s">
        <v>65</v>
      </c>
      <c r="D304" s="18" t="s">
        <v>218</v>
      </c>
      <c r="E304" s="13">
        <f t="shared" si="26"/>
        <v>208540.08387089521</v>
      </c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>
        <v>184540.08387089521</v>
      </c>
      <c r="S304" s="13">
        <v>24000</v>
      </c>
      <c r="T304" s="12"/>
      <c r="U304" s="153">
        <v>1</v>
      </c>
      <c r="V304" s="180">
        <f t="shared" si="25"/>
        <v>0</v>
      </c>
    </row>
    <row r="305" spans="1:22" x14ac:dyDescent="0.25">
      <c r="A305" s="17">
        <f t="shared" si="23"/>
        <v>293</v>
      </c>
      <c r="B305" s="17">
        <f t="shared" si="24"/>
        <v>293</v>
      </c>
      <c r="C305" s="62" t="s">
        <v>65</v>
      </c>
      <c r="D305" s="18" t="s">
        <v>219</v>
      </c>
      <c r="E305" s="13">
        <f t="shared" si="26"/>
        <v>41034.599999999991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>
        <v>41034.599999999991</v>
      </c>
      <c r="S305" s="13"/>
      <c r="T305" s="12"/>
      <c r="U305" s="153">
        <v>1</v>
      </c>
      <c r="V305" s="180">
        <f t="shared" si="25"/>
        <v>0</v>
      </c>
    </row>
    <row r="306" spans="1:22" x14ac:dyDescent="0.25">
      <c r="A306" s="17">
        <f t="shared" si="23"/>
        <v>294</v>
      </c>
      <c r="B306" s="17">
        <f t="shared" si="24"/>
        <v>294</v>
      </c>
      <c r="C306" s="62" t="s">
        <v>65</v>
      </c>
      <c r="D306" s="18" t="s">
        <v>220</v>
      </c>
      <c r="E306" s="13">
        <f t="shared" si="26"/>
        <v>541814.91922176001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>
        <v>517814.91922176001</v>
      </c>
      <c r="S306" s="13">
        <v>24000</v>
      </c>
      <c r="T306" s="12"/>
      <c r="U306" s="153">
        <v>1</v>
      </c>
      <c r="V306" s="180">
        <f t="shared" si="25"/>
        <v>0</v>
      </c>
    </row>
    <row r="307" spans="1:22" x14ac:dyDescent="0.25">
      <c r="A307" s="17">
        <f t="shared" si="23"/>
        <v>295</v>
      </c>
      <c r="B307" s="17">
        <f t="shared" si="24"/>
        <v>295</v>
      </c>
      <c r="C307" s="62" t="s">
        <v>65</v>
      </c>
      <c r="D307" s="18" t="s">
        <v>378</v>
      </c>
      <c r="E307" s="13">
        <f t="shared" si="26"/>
        <v>268357.36501248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>
        <v>244357.36501248</v>
      </c>
      <c r="S307" s="13">
        <v>24000</v>
      </c>
      <c r="T307" s="12"/>
      <c r="U307" s="153">
        <v>1</v>
      </c>
      <c r="V307" s="180">
        <f t="shared" si="25"/>
        <v>0</v>
      </c>
    </row>
    <row r="308" spans="1:22" x14ac:dyDescent="0.25">
      <c r="A308" s="17">
        <f t="shared" si="23"/>
        <v>296</v>
      </c>
      <c r="B308" s="17">
        <f t="shared" si="24"/>
        <v>296</v>
      </c>
      <c r="C308" s="62" t="s">
        <v>65</v>
      </c>
      <c r="D308" s="18" t="s">
        <v>379</v>
      </c>
      <c r="E308" s="13">
        <f t="shared" si="26"/>
        <v>287280.23532288003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>
        <v>263280.23532288003</v>
      </c>
      <c r="S308" s="13">
        <v>24000</v>
      </c>
      <c r="T308" s="12"/>
      <c r="U308" s="153">
        <v>1</v>
      </c>
      <c r="V308" s="180">
        <f t="shared" si="25"/>
        <v>0</v>
      </c>
    </row>
    <row r="309" spans="1:22" x14ac:dyDescent="0.25">
      <c r="A309" s="17">
        <f t="shared" si="23"/>
        <v>297</v>
      </c>
      <c r="B309" s="17">
        <f t="shared" si="24"/>
        <v>297</v>
      </c>
      <c r="C309" s="62" t="s">
        <v>65</v>
      </c>
      <c r="D309" s="18" t="s">
        <v>380</v>
      </c>
      <c r="E309" s="13">
        <f t="shared" si="26"/>
        <v>281461.13080186542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>
        <v>257461.13080186542</v>
      </c>
      <c r="S309" s="13">
        <v>24000</v>
      </c>
      <c r="T309" s="12"/>
      <c r="U309" s="153">
        <v>1</v>
      </c>
      <c r="V309" s="180">
        <f t="shared" si="25"/>
        <v>0</v>
      </c>
    </row>
    <row r="310" spans="1:22" x14ac:dyDescent="0.25">
      <c r="A310" s="17">
        <f t="shared" si="23"/>
        <v>298</v>
      </c>
      <c r="B310" s="17">
        <f t="shared" si="24"/>
        <v>298</v>
      </c>
      <c r="C310" s="62" t="s">
        <v>65</v>
      </c>
      <c r="D310" s="18" t="s">
        <v>381</v>
      </c>
      <c r="E310" s="13">
        <f t="shared" si="26"/>
        <v>287831.67855359998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>
        <v>263831.67855359998</v>
      </c>
      <c r="S310" s="13">
        <v>24000</v>
      </c>
      <c r="T310" s="12"/>
      <c r="U310" s="153">
        <v>1</v>
      </c>
      <c r="V310" s="180">
        <f t="shared" si="25"/>
        <v>0</v>
      </c>
    </row>
    <row r="311" spans="1:22" x14ac:dyDescent="0.25">
      <c r="A311" s="17">
        <f t="shared" si="23"/>
        <v>299</v>
      </c>
      <c r="B311" s="17">
        <f t="shared" si="24"/>
        <v>299</v>
      </c>
      <c r="C311" s="62" t="s">
        <v>65</v>
      </c>
      <c r="D311" s="18" t="s">
        <v>382</v>
      </c>
      <c r="E311" s="13">
        <f t="shared" si="26"/>
        <v>322815.71727245557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>
        <v>298815.71727245557</v>
      </c>
      <c r="S311" s="13">
        <v>24000</v>
      </c>
      <c r="T311" s="12"/>
      <c r="U311" s="153">
        <v>1</v>
      </c>
      <c r="V311" s="180">
        <f t="shared" si="25"/>
        <v>0</v>
      </c>
    </row>
    <row r="312" spans="1:22" x14ac:dyDescent="0.25">
      <c r="A312" s="17">
        <f t="shared" si="23"/>
        <v>300</v>
      </c>
      <c r="B312" s="17">
        <f t="shared" si="24"/>
        <v>300</v>
      </c>
      <c r="C312" s="62" t="s">
        <v>65</v>
      </c>
      <c r="D312" s="18" t="s">
        <v>383</v>
      </c>
      <c r="E312" s="13">
        <f t="shared" si="26"/>
        <v>241502.54621568002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>
        <v>217502.54621568002</v>
      </c>
      <c r="S312" s="13">
        <v>24000</v>
      </c>
      <c r="T312" s="12"/>
      <c r="U312" s="153">
        <v>1</v>
      </c>
      <c r="V312" s="180">
        <f t="shared" si="25"/>
        <v>0</v>
      </c>
    </row>
    <row r="313" spans="1:22" x14ac:dyDescent="0.25">
      <c r="A313" s="17">
        <f t="shared" si="23"/>
        <v>301</v>
      </c>
      <c r="B313" s="17">
        <f t="shared" si="24"/>
        <v>301</v>
      </c>
      <c r="C313" s="62" t="s">
        <v>65</v>
      </c>
      <c r="D313" s="18" t="s">
        <v>384</v>
      </c>
      <c r="E313" s="13">
        <f t="shared" si="26"/>
        <v>898204.23633291502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>
        <v>874204.23633291502</v>
      </c>
      <c r="S313" s="13">
        <v>24000</v>
      </c>
      <c r="T313" s="12"/>
      <c r="U313" s="153">
        <v>1</v>
      </c>
      <c r="V313" s="180">
        <f t="shared" si="25"/>
        <v>0</v>
      </c>
    </row>
    <row r="314" spans="1:22" x14ac:dyDescent="0.25">
      <c r="A314" s="17">
        <f t="shared" si="23"/>
        <v>302</v>
      </c>
      <c r="B314" s="17">
        <f t="shared" si="24"/>
        <v>302</v>
      </c>
      <c r="C314" s="62" t="s">
        <v>65</v>
      </c>
      <c r="D314" s="18" t="s">
        <v>385</v>
      </c>
      <c r="E314" s="13">
        <f t="shared" si="26"/>
        <v>913643.51444501453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>
        <v>889643.51444501453</v>
      </c>
      <c r="S314" s="13">
        <v>24000</v>
      </c>
      <c r="T314" s="12"/>
      <c r="U314" s="153">
        <v>1</v>
      </c>
      <c r="V314" s="180">
        <f t="shared" si="25"/>
        <v>0</v>
      </c>
    </row>
    <row r="315" spans="1:22" x14ac:dyDescent="0.25">
      <c r="A315" s="17">
        <f t="shared" si="23"/>
        <v>303</v>
      </c>
      <c r="B315" s="17">
        <f t="shared" si="24"/>
        <v>303</v>
      </c>
      <c r="C315" s="62" t="s">
        <v>523</v>
      </c>
      <c r="D315" s="18" t="s">
        <v>386</v>
      </c>
      <c r="E315" s="13">
        <f t="shared" si="26"/>
        <v>139829.15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>
        <v>115829.15</v>
      </c>
      <c r="S315" s="13">
        <v>24000</v>
      </c>
      <c r="T315" s="12"/>
      <c r="U315" s="153">
        <v>1</v>
      </c>
      <c r="V315" s="180">
        <f t="shared" si="25"/>
        <v>0</v>
      </c>
    </row>
    <row r="316" spans="1:22" x14ac:dyDescent="0.25">
      <c r="A316" s="17">
        <f t="shared" si="23"/>
        <v>304</v>
      </c>
      <c r="B316" s="17">
        <f t="shared" si="24"/>
        <v>304</v>
      </c>
      <c r="C316" s="62" t="s">
        <v>56</v>
      </c>
      <c r="D316" s="18" t="s">
        <v>221</v>
      </c>
      <c r="E316" s="13">
        <f t="shared" si="26"/>
        <v>325345.75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>
        <v>301345.75</v>
      </c>
      <c r="S316" s="13">
        <v>24000</v>
      </c>
      <c r="T316" s="12"/>
      <c r="U316" s="153">
        <v>1</v>
      </c>
      <c r="V316" s="180">
        <f t="shared" si="25"/>
        <v>0</v>
      </c>
    </row>
    <row r="317" spans="1:22" x14ac:dyDescent="0.25">
      <c r="A317" s="17">
        <f t="shared" si="23"/>
        <v>305</v>
      </c>
      <c r="B317" s="17">
        <f t="shared" si="24"/>
        <v>305</v>
      </c>
      <c r="C317" s="62" t="s">
        <v>536</v>
      </c>
      <c r="D317" s="18" t="s">
        <v>562</v>
      </c>
      <c r="E317" s="13">
        <f t="shared" si="26"/>
        <v>193273.23000000004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>
        <v>193273.23000000004</v>
      </c>
      <c r="S317" s="13"/>
      <c r="T317" s="12"/>
    </row>
    <row r="318" spans="1:22" x14ac:dyDescent="0.25">
      <c r="A318" s="17">
        <f t="shared" si="23"/>
        <v>306</v>
      </c>
      <c r="B318" s="17">
        <f t="shared" si="24"/>
        <v>306</v>
      </c>
      <c r="C318" s="62" t="s">
        <v>536</v>
      </c>
      <c r="D318" s="18" t="s">
        <v>563</v>
      </c>
      <c r="E318" s="13">
        <f t="shared" si="26"/>
        <v>220690.63999999998</v>
      </c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>
        <v>220690.63999999998</v>
      </c>
      <c r="S318" s="13"/>
      <c r="T318" s="12"/>
    </row>
    <row r="319" spans="1:22" x14ac:dyDescent="0.25">
      <c r="A319" s="17">
        <f t="shared" si="23"/>
        <v>307</v>
      </c>
      <c r="B319" s="17">
        <f t="shared" si="24"/>
        <v>307</v>
      </c>
      <c r="C319" s="62" t="s">
        <v>538</v>
      </c>
      <c r="D319" s="18" t="s">
        <v>564</v>
      </c>
      <c r="E319" s="13">
        <f t="shared" si="26"/>
        <v>71066.701252655272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>
        <v>47066.701252655272</v>
      </c>
      <c r="S319" s="13">
        <v>24000</v>
      </c>
      <c r="T319" s="12"/>
    </row>
    <row r="320" spans="1:22" x14ac:dyDescent="0.25">
      <c r="A320" s="17">
        <f t="shared" si="23"/>
        <v>308</v>
      </c>
      <c r="B320" s="17">
        <f t="shared" si="24"/>
        <v>308</v>
      </c>
      <c r="C320" s="62" t="s">
        <v>45</v>
      </c>
      <c r="D320" s="18" t="s">
        <v>404</v>
      </c>
      <c r="E320" s="13">
        <f t="shared" si="26"/>
        <v>122177.85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>
        <v>98177.85</v>
      </c>
      <c r="S320" s="13">
        <v>24000</v>
      </c>
      <c r="T320" s="12"/>
      <c r="U320" s="153">
        <v>1</v>
      </c>
      <c r="V320" s="180">
        <f>+E320-R320-S320</f>
        <v>0</v>
      </c>
    </row>
    <row r="321" spans="1:22" x14ac:dyDescent="0.25">
      <c r="A321" s="17">
        <f t="shared" si="23"/>
        <v>309</v>
      </c>
      <c r="B321" s="17">
        <f t="shared" si="24"/>
        <v>309</v>
      </c>
      <c r="C321" s="62" t="s">
        <v>45</v>
      </c>
      <c r="D321" s="18" t="s">
        <v>405</v>
      </c>
      <c r="E321" s="13">
        <f t="shared" si="26"/>
        <v>1068939.3299999998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>
        <v>1044939.3299999998</v>
      </c>
      <c r="S321" s="13">
        <v>24000</v>
      </c>
      <c r="T321" s="12"/>
      <c r="U321" s="153">
        <v>1</v>
      </c>
      <c r="V321" s="180">
        <f>+E321-R321-S321</f>
        <v>0</v>
      </c>
    </row>
    <row r="322" spans="1:22" x14ac:dyDescent="0.25">
      <c r="A322" s="17">
        <f t="shared" si="23"/>
        <v>310</v>
      </c>
      <c r="B322" s="17">
        <f t="shared" si="24"/>
        <v>310</v>
      </c>
      <c r="C322" s="62" t="s">
        <v>45</v>
      </c>
      <c r="D322" s="18" t="s">
        <v>406</v>
      </c>
      <c r="E322" s="13">
        <f t="shared" si="26"/>
        <v>1564470.2899999998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>
        <v>1540470.2899999998</v>
      </c>
      <c r="S322" s="13">
        <v>24000</v>
      </c>
      <c r="T322" s="12"/>
      <c r="U322" s="153">
        <v>1</v>
      </c>
      <c r="V322" s="180">
        <f>+E322-R322-S322</f>
        <v>0</v>
      </c>
    </row>
    <row r="323" spans="1:22" x14ac:dyDescent="0.25">
      <c r="A323" s="17">
        <f t="shared" si="23"/>
        <v>311</v>
      </c>
      <c r="B323" s="17">
        <f t="shared" si="24"/>
        <v>311</v>
      </c>
      <c r="C323" s="62" t="s">
        <v>45</v>
      </c>
      <c r="D323" s="18" t="s">
        <v>151</v>
      </c>
      <c r="E323" s="13">
        <f t="shared" si="26"/>
        <v>1865203.4000000004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>
        <v>1841203.4000000004</v>
      </c>
      <c r="S323" s="13">
        <v>24000</v>
      </c>
      <c r="T323" s="12"/>
      <c r="U323" s="153">
        <v>1</v>
      </c>
      <c r="V323" s="180">
        <f>+E323-R323-S323</f>
        <v>0</v>
      </c>
    </row>
    <row r="324" spans="1:22" x14ac:dyDescent="0.25">
      <c r="A324" s="17">
        <f t="shared" si="23"/>
        <v>312</v>
      </c>
      <c r="B324" s="17">
        <f t="shared" si="24"/>
        <v>312</v>
      </c>
      <c r="C324" s="62" t="s">
        <v>45</v>
      </c>
      <c r="D324" s="18" t="s">
        <v>407</v>
      </c>
      <c r="E324" s="13">
        <f t="shared" si="26"/>
        <v>1393697.61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>
        <v>1369697.61</v>
      </c>
      <c r="S324" s="13">
        <v>24000</v>
      </c>
      <c r="T324" s="12"/>
      <c r="U324" s="153">
        <v>1</v>
      </c>
      <c r="V324" s="180">
        <f>+E324-R324-S324</f>
        <v>0</v>
      </c>
    </row>
    <row r="325" spans="1:22" x14ac:dyDescent="0.25">
      <c r="A325" s="17">
        <f t="shared" si="23"/>
        <v>313</v>
      </c>
      <c r="B325" s="17">
        <f t="shared" si="24"/>
        <v>313</v>
      </c>
      <c r="C325" s="62" t="s">
        <v>45</v>
      </c>
      <c r="D325" s="18" t="s">
        <v>255</v>
      </c>
      <c r="E325" s="13">
        <f t="shared" si="11"/>
        <v>806648.31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>
        <v>782648.31</v>
      </c>
      <c r="S325" s="13">
        <v>24000</v>
      </c>
      <c r="T325" s="12"/>
      <c r="U325" s="153">
        <v>1</v>
      </c>
      <c r="V325" s="180">
        <f t="shared" ref="V325:V386" si="27">+E325-R325-S325</f>
        <v>0</v>
      </c>
    </row>
    <row r="326" spans="1:22" x14ac:dyDescent="0.25">
      <c r="A326" s="17">
        <f t="shared" si="23"/>
        <v>314</v>
      </c>
      <c r="B326" s="17">
        <f t="shared" si="24"/>
        <v>314</v>
      </c>
      <c r="C326" s="62" t="s">
        <v>45</v>
      </c>
      <c r="D326" s="18" t="s">
        <v>256</v>
      </c>
      <c r="E326" s="13">
        <f t="shared" si="11"/>
        <v>1049040.8400000003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>
        <v>1025040.8400000003</v>
      </c>
      <c r="S326" s="13">
        <v>24000</v>
      </c>
      <c r="T326" s="12"/>
      <c r="U326" s="153">
        <v>1</v>
      </c>
      <c r="V326" s="180">
        <f t="shared" si="27"/>
        <v>0</v>
      </c>
    </row>
    <row r="327" spans="1:22" x14ac:dyDescent="0.25">
      <c r="A327" s="17">
        <f t="shared" si="23"/>
        <v>315</v>
      </c>
      <c r="B327" s="17">
        <f t="shared" si="24"/>
        <v>315</v>
      </c>
      <c r="C327" s="62" t="s">
        <v>45</v>
      </c>
      <c r="D327" s="18" t="s">
        <v>257</v>
      </c>
      <c r="E327" s="13">
        <f t="shared" si="11"/>
        <v>1047879.7699999999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>
        <v>1023879.7699999999</v>
      </c>
      <c r="S327" s="13">
        <v>24000</v>
      </c>
      <c r="T327" s="12"/>
      <c r="U327" s="153">
        <v>1</v>
      </c>
      <c r="V327" s="180">
        <f t="shared" si="27"/>
        <v>0</v>
      </c>
    </row>
    <row r="328" spans="1:22" x14ac:dyDescent="0.25">
      <c r="A328" s="17">
        <f t="shared" si="23"/>
        <v>316</v>
      </c>
      <c r="B328" s="17">
        <f t="shared" si="24"/>
        <v>316</v>
      </c>
      <c r="C328" s="62" t="s">
        <v>45</v>
      </c>
      <c r="D328" s="18" t="s">
        <v>258</v>
      </c>
      <c r="E328" s="13">
        <f t="shared" si="11"/>
        <v>1048133.78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>
        <v>1024133.78</v>
      </c>
      <c r="S328" s="13">
        <v>24000</v>
      </c>
      <c r="T328" s="12"/>
      <c r="U328" s="153">
        <v>1</v>
      </c>
      <c r="V328" s="180">
        <f t="shared" si="27"/>
        <v>0</v>
      </c>
    </row>
    <row r="329" spans="1:22" x14ac:dyDescent="0.25">
      <c r="A329" s="17">
        <f t="shared" si="23"/>
        <v>317</v>
      </c>
      <c r="B329" s="17">
        <f t="shared" si="24"/>
        <v>317</v>
      </c>
      <c r="C329" s="62" t="s">
        <v>45</v>
      </c>
      <c r="D329" s="18" t="s">
        <v>259</v>
      </c>
      <c r="E329" s="13">
        <f t="shared" si="11"/>
        <v>1048629.6599999999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>
        <v>1024629.6599999999</v>
      </c>
      <c r="S329" s="13">
        <v>24000</v>
      </c>
      <c r="T329" s="12"/>
      <c r="U329" s="153">
        <v>1</v>
      </c>
      <c r="V329" s="180">
        <f t="shared" si="27"/>
        <v>0</v>
      </c>
    </row>
    <row r="330" spans="1:22" x14ac:dyDescent="0.25">
      <c r="A330" s="17">
        <f t="shared" si="23"/>
        <v>318</v>
      </c>
      <c r="B330" s="17">
        <f t="shared" si="24"/>
        <v>318</v>
      </c>
      <c r="C330" s="62" t="s">
        <v>537</v>
      </c>
      <c r="D330" s="18" t="s">
        <v>565</v>
      </c>
      <c r="E330" s="13">
        <f>SUM(F330:T330)</f>
        <v>203293.58</v>
      </c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>
        <v>150266.57999999999</v>
      </c>
      <c r="S330" s="13">
        <f>53027</f>
        <v>53027</v>
      </c>
      <c r="T330" s="12"/>
    </row>
    <row r="331" spans="1:22" x14ac:dyDescent="0.25">
      <c r="A331" s="17">
        <f t="shared" si="23"/>
        <v>319</v>
      </c>
      <c r="B331" s="17">
        <f t="shared" si="24"/>
        <v>319</v>
      </c>
      <c r="C331" s="62" t="s">
        <v>46</v>
      </c>
      <c r="D331" s="18" t="s">
        <v>260</v>
      </c>
      <c r="E331" s="13">
        <f t="shared" si="11"/>
        <v>403663.92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>
        <v>379663.92</v>
      </c>
      <c r="S331" s="13">
        <v>24000</v>
      </c>
      <c r="T331" s="12"/>
      <c r="U331" s="153">
        <v>1</v>
      </c>
      <c r="V331" s="180">
        <f t="shared" si="27"/>
        <v>0</v>
      </c>
    </row>
    <row r="332" spans="1:22" x14ac:dyDescent="0.25">
      <c r="A332" s="17">
        <f t="shared" si="23"/>
        <v>320</v>
      </c>
      <c r="B332" s="17">
        <f t="shared" si="24"/>
        <v>320</v>
      </c>
      <c r="C332" s="62" t="s">
        <v>46</v>
      </c>
      <c r="D332" s="18" t="s">
        <v>261</v>
      </c>
      <c r="E332" s="13">
        <f t="shared" si="11"/>
        <v>826844.93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>
        <v>802844.93</v>
      </c>
      <c r="S332" s="13">
        <v>24000</v>
      </c>
      <c r="T332" s="12"/>
      <c r="U332" s="153">
        <v>1</v>
      </c>
      <c r="V332" s="180">
        <f t="shared" si="27"/>
        <v>0</v>
      </c>
    </row>
    <row r="333" spans="1:22" x14ac:dyDescent="0.25">
      <c r="A333" s="17">
        <f t="shared" si="23"/>
        <v>321</v>
      </c>
      <c r="B333" s="17">
        <f t="shared" si="24"/>
        <v>321</v>
      </c>
      <c r="C333" s="62" t="s">
        <v>46</v>
      </c>
      <c r="D333" s="18" t="s">
        <v>262</v>
      </c>
      <c r="E333" s="13">
        <f t="shared" si="11"/>
        <v>1817294.191355854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>
        <v>1793294.191355854</v>
      </c>
      <c r="S333" s="13">
        <v>24000</v>
      </c>
      <c r="T333" s="12"/>
      <c r="U333" s="153">
        <v>1</v>
      </c>
      <c r="V333" s="180">
        <f t="shared" si="27"/>
        <v>0</v>
      </c>
    </row>
    <row r="334" spans="1:22" x14ac:dyDescent="0.25">
      <c r="A334" s="17">
        <f t="shared" si="23"/>
        <v>322</v>
      </c>
      <c r="B334" s="17">
        <f t="shared" si="24"/>
        <v>322</v>
      </c>
      <c r="C334" s="62" t="s">
        <v>46</v>
      </c>
      <c r="D334" s="18" t="s">
        <v>263</v>
      </c>
      <c r="E334" s="13">
        <f t="shared" si="11"/>
        <v>1811193.5735314607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>
        <v>1787193.5735314607</v>
      </c>
      <c r="S334" s="13">
        <v>24000</v>
      </c>
      <c r="T334" s="12"/>
      <c r="U334" s="153">
        <v>1</v>
      </c>
      <c r="V334" s="180">
        <f t="shared" si="27"/>
        <v>0</v>
      </c>
    </row>
    <row r="335" spans="1:22" x14ac:dyDescent="0.25">
      <c r="A335" s="17">
        <f t="shared" ref="A335:A398" si="28">+A334+1</f>
        <v>323</v>
      </c>
      <c r="B335" s="17">
        <f t="shared" ref="B335:B398" si="29">+B334+1</f>
        <v>323</v>
      </c>
      <c r="C335" s="62" t="s">
        <v>46</v>
      </c>
      <c r="D335" s="18" t="s">
        <v>264</v>
      </c>
      <c r="E335" s="13">
        <f t="shared" si="11"/>
        <v>504784.84</v>
      </c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>
        <v>480784.84</v>
      </c>
      <c r="S335" s="13">
        <v>24000</v>
      </c>
      <c r="T335" s="12"/>
      <c r="U335" s="153">
        <v>1</v>
      </c>
      <c r="V335" s="180">
        <f t="shared" si="27"/>
        <v>0</v>
      </c>
    </row>
    <row r="336" spans="1:22" x14ac:dyDescent="0.25">
      <c r="A336" s="17">
        <f t="shared" si="28"/>
        <v>324</v>
      </c>
      <c r="B336" s="17">
        <f t="shared" si="29"/>
        <v>324</v>
      </c>
      <c r="C336" s="62" t="s">
        <v>46</v>
      </c>
      <c r="D336" s="18" t="s">
        <v>265</v>
      </c>
      <c r="E336" s="13">
        <f t="shared" si="11"/>
        <v>181262.38999999998</v>
      </c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>
        <v>157262.38999999998</v>
      </c>
      <c r="S336" s="13">
        <v>24000</v>
      </c>
      <c r="T336" s="12"/>
      <c r="U336" s="153">
        <v>1</v>
      </c>
      <c r="V336" s="180">
        <f t="shared" si="27"/>
        <v>0</v>
      </c>
    </row>
    <row r="337" spans="1:22" x14ac:dyDescent="0.25">
      <c r="A337" s="17">
        <f t="shared" si="28"/>
        <v>325</v>
      </c>
      <c r="B337" s="17">
        <f t="shared" si="29"/>
        <v>325</v>
      </c>
      <c r="C337" s="62" t="s">
        <v>46</v>
      </c>
      <c r="D337" s="18" t="s">
        <v>266</v>
      </c>
      <c r="E337" s="13">
        <f t="shared" si="11"/>
        <v>429328.74</v>
      </c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>
        <v>405328.74</v>
      </c>
      <c r="S337" s="13">
        <v>24000</v>
      </c>
      <c r="T337" s="12"/>
      <c r="U337" s="153">
        <v>1</v>
      </c>
      <c r="V337" s="180">
        <f t="shared" si="27"/>
        <v>0</v>
      </c>
    </row>
    <row r="338" spans="1:22" x14ac:dyDescent="0.25">
      <c r="A338" s="17">
        <f t="shared" si="28"/>
        <v>326</v>
      </c>
      <c r="B338" s="17">
        <f t="shared" si="29"/>
        <v>326</v>
      </c>
      <c r="C338" s="62" t="s">
        <v>46</v>
      </c>
      <c r="D338" s="18" t="s">
        <v>267</v>
      </c>
      <c r="E338" s="13">
        <f t="shared" si="11"/>
        <v>773009.77523200004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>
        <v>725009.77523200004</v>
      </c>
      <c r="S338" s="13">
        <v>48000</v>
      </c>
      <c r="T338" s="12"/>
      <c r="U338" s="153">
        <v>1</v>
      </c>
      <c r="V338" s="180">
        <f t="shared" si="27"/>
        <v>0</v>
      </c>
    </row>
    <row r="339" spans="1:22" x14ac:dyDescent="0.25">
      <c r="A339" s="17">
        <f t="shared" si="28"/>
        <v>327</v>
      </c>
      <c r="B339" s="17">
        <f t="shared" si="29"/>
        <v>327</v>
      </c>
      <c r="C339" s="62" t="s">
        <v>46</v>
      </c>
      <c r="D339" s="18" t="s">
        <v>268</v>
      </c>
      <c r="E339" s="13">
        <f t="shared" si="11"/>
        <v>364412.2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>
        <v>340412.2</v>
      </c>
      <c r="S339" s="13">
        <v>24000</v>
      </c>
      <c r="T339" s="12"/>
      <c r="U339" s="153">
        <v>1</v>
      </c>
      <c r="V339" s="180">
        <f t="shared" si="27"/>
        <v>0</v>
      </c>
    </row>
    <row r="340" spans="1:22" x14ac:dyDescent="0.25">
      <c r="A340" s="17">
        <f t="shared" si="28"/>
        <v>328</v>
      </c>
      <c r="B340" s="17">
        <f t="shared" si="29"/>
        <v>328</v>
      </c>
      <c r="C340" s="62" t="s">
        <v>46</v>
      </c>
      <c r="D340" s="18" t="s">
        <v>269</v>
      </c>
      <c r="E340" s="13">
        <f t="shared" si="11"/>
        <v>370434.04000000004</v>
      </c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>
        <v>346434.04000000004</v>
      </c>
      <c r="S340" s="13">
        <v>24000</v>
      </c>
      <c r="T340" s="12"/>
      <c r="U340" s="153">
        <v>1</v>
      </c>
      <c r="V340" s="180">
        <f t="shared" si="27"/>
        <v>0</v>
      </c>
    </row>
    <row r="341" spans="1:22" x14ac:dyDescent="0.25">
      <c r="A341" s="17">
        <f t="shared" si="28"/>
        <v>329</v>
      </c>
      <c r="B341" s="17">
        <f t="shared" si="29"/>
        <v>329</v>
      </c>
      <c r="C341" s="62" t="s">
        <v>46</v>
      </c>
      <c r="D341" s="18" t="s">
        <v>270</v>
      </c>
      <c r="E341" s="13">
        <f t="shared" si="11"/>
        <v>188929.96000000002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>
        <v>164929.96000000002</v>
      </c>
      <c r="S341" s="13">
        <v>24000</v>
      </c>
      <c r="T341" s="12"/>
      <c r="U341" s="153">
        <v>1</v>
      </c>
      <c r="V341" s="180">
        <f t="shared" si="27"/>
        <v>0</v>
      </c>
    </row>
    <row r="342" spans="1:22" x14ac:dyDescent="0.25">
      <c r="A342" s="17">
        <f t="shared" si="28"/>
        <v>330</v>
      </c>
      <c r="B342" s="17">
        <f t="shared" si="29"/>
        <v>330</v>
      </c>
      <c r="C342" s="62" t="s">
        <v>46</v>
      </c>
      <c r="D342" s="18" t="s">
        <v>271</v>
      </c>
      <c r="E342" s="13">
        <f t="shared" si="11"/>
        <v>189106.75999999998</v>
      </c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>
        <v>165106.75999999998</v>
      </c>
      <c r="S342" s="13">
        <v>24000</v>
      </c>
      <c r="T342" s="12"/>
      <c r="U342" s="153">
        <v>1</v>
      </c>
      <c r="V342" s="180">
        <f t="shared" si="27"/>
        <v>0</v>
      </c>
    </row>
    <row r="343" spans="1:22" x14ac:dyDescent="0.25">
      <c r="A343" s="17">
        <f t="shared" si="28"/>
        <v>331</v>
      </c>
      <c r="B343" s="17">
        <f t="shared" si="29"/>
        <v>331</v>
      </c>
      <c r="C343" s="62" t="s">
        <v>46</v>
      </c>
      <c r="D343" s="18" t="s">
        <v>272</v>
      </c>
      <c r="E343" s="13">
        <f t="shared" si="11"/>
        <v>471293.04</v>
      </c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>
        <v>447293.04</v>
      </c>
      <c r="S343" s="13">
        <v>24000</v>
      </c>
      <c r="T343" s="12"/>
      <c r="U343" s="153">
        <v>1</v>
      </c>
      <c r="V343" s="180">
        <f t="shared" si="27"/>
        <v>0</v>
      </c>
    </row>
    <row r="344" spans="1:22" x14ac:dyDescent="0.25">
      <c r="A344" s="17">
        <f t="shared" si="28"/>
        <v>332</v>
      </c>
      <c r="B344" s="17">
        <f t="shared" si="29"/>
        <v>332</v>
      </c>
      <c r="C344" s="62" t="s">
        <v>46</v>
      </c>
      <c r="D344" s="18" t="s">
        <v>273</v>
      </c>
      <c r="E344" s="13">
        <f t="shared" si="11"/>
        <v>420969.74</v>
      </c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>
        <v>396969.74</v>
      </c>
      <c r="S344" s="13">
        <v>24000</v>
      </c>
      <c r="T344" s="12"/>
      <c r="U344" s="153">
        <v>1</v>
      </c>
      <c r="V344" s="180">
        <f t="shared" si="27"/>
        <v>0</v>
      </c>
    </row>
    <row r="345" spans="1:22" x14ac:dyDescent="0.25">
      <c r="A345" s="17">
        <f t="shared" si="28"/>
        <v>333</v>
      </c>
      <c r="B345" s="17">
        <f t="shared" si="29"/>
        <v>333</v>
      </c>
      <c r="C345" s="62" t="s">
        <v>46</v>
      </c>
      <c r="D345" s="18" t="s">
        <v>274</v>
      </c>
      <c r="E345" s="13">
        <f t="shared" si="11"/>
        <v>422368.42000000004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>
        <v>398368.42000000004</v>
      </c>
      <c r="S345" s="13">
        <v>24000</v>
      </c>
      <c r="T345" s="12"/>
      <c r="U345" s="153">
        <v>1</v>
      </c>
      <c r="V345" s="180">
        <f t="shared" si="27"/>
        <v>0</v>
      </c>
    </row>
    <row r="346" spans="1:22" x14ac:dyDescent="0.25">
      <c r="A346" s="17">
        <f t="shared" si="28"/>
        <v>334</v>
      </c>
      <c r="B346" s="17">
        <f t="shared" si="29"/>
        <v>334</v>
      </c>
      <c r="C346" s="62" t="s">
        <v>46</v>
      </c>
      <c r="D346" s="18" t="s">
        <v>275</v>
      </c>
      <c r="E346" s="13">
        <f t="shared" si="11"/>
        <v>421146.89999999997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>
        <v>397146.89999999997</v>
      </c>
      <c r="S346" s="13">
        <v>24000</v>
      </c>
      <c r="T346" s="12"/>
      <c r="U346" s="153">
        <v>1</v>
      </c>
      <c r="V346" s="180">
        <f t="shared" si="27"/>
        <v>0</v>
      </c>
    </row>
    <row r="347" spans="1:22" x14ac:dyDescent="0.25">
      <c r="A347" s="17">
        <f t="shared" si="28"/>
        <v>335</v>
      </c>
      <c r="B347" s="17">
        <f t="shared" si="29"/>
        <v>335</v>
      </c>
      <c r="C347" s="62" t="s">
        <v>46</v>
      </c>
      <c r="D347" s="18" t="s">
        <v>276</v>
      </c>
      <c r="E347" s="13">
        <f t="shared" si="11"/>
        <v>420842.81</v>
      </c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>
        <v>396842.81</v>
      </c>
      <c r="S347" s="13">
        <v>24000</v>
      </c>
      <c r="T347" s="12"/>
      <c r="U347" s="153">
        <v>1</v>
      </c>
      <c r="V347" s="180">
        <f t="shared" si="27"/>
        <v>0</v>
      </c>
    </row>
    <row r="348" spans="1:22" x14ac:dyDescent="0.25">
      <c r="A348" s="17">
        <f t="shared" si="28"/>
        <v>336</v>
      </c>
      <c r="B348" s="17">
        <f t="shared" si="29"/>
        <v>336</v>
      </c>
      <c r="C348" s="62" t="s">
        <v>46</v>
      </c>
      <c r="D348" s="18" t="s">
        <v>277</v>
      </c>
      <c r="E348" s="13">
        <f t="shared" si="11"/>
        <v>474068.29999999993</v>
      </c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>
        <v>450068.29999999993</v>
      </c>
      <c r="S348" s="13">
        <v>24000</v>
      </c>
      <c r="T348" s="12"/>
      <c r="U348" s="153">
        <v>1</v>
      </c>
      <c r="V348" s="180">
        <f t="shared" si="27"/>
        <v>0</v>
      </c>
    </row>
    <row r="349" spans="1:22" x14ac:dyDescent="0.25">
      <c r="A349" s="17">
        <f t="shared" si="28"/>
        <v>337</v>
      </c>
      <c r="B349" s="17">
        <f t="shared" si="29"/>
        <v>337</v>
      </c>
      <c r="C349" s="62" t="s">
        <v>46</v>
      </c>
      <c r="D349" s="18" t="s">
        <v>278</v>
      </c>
      <c r="E349" s="13">
        <f t="shared" si="11"/>
        <v>187169.13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>
        <v>163169.13</v>
      </c>
      <c r="S349" s="13">
        <v>24000</v>
      </c>
      <c r="T349" s="12"/>
      <c r="U349" s="153">
        <v>1</v>
      </c>
      <c r="V349" s="180">
        <f t="shared" si="27"/>
        <v>0</v>
      </c>
    </row>
    <row r="350" spans="1:22" x14ac:dyDescent="0.25">
      <c r="A350" s="17">
        <f t="shared" si="28"/>
        <v>338</v>
      </c>
      <c r="B350" s="17">
        <f t="shared" si="29"/>
        <v>338</v>
      </c>
      <c r="C350" s="62" t="s">
        <v>46</v>
      </c>
      <c r="D350" s="18" t="s">
        <v>279</v>
      </c>
      <c r="E350" s="13">
        <f t="shared" si="11"/>
        <v>422492.39</v>
      </c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>
        <v>398492.39</v>
      </c>
      <c r="S350" s="13">
        <v>24000</v>
      </c>
      <c r="T350" s="12"/>
      <c r="U350" s="153">
        <v>1</v>
      </c>
      <c r="V350" s="180">
        <f t="shared" si="27"/>
        <v>0</v>
      </c>
    </row>
    <row r="351" spans="1:22" x14ac:dyDescent="0.25">
      <c r="A351" s="17">
        <f t="shared" si="28"/>
        <v>339</v>
      </c>
      <c r="B351" s="17">
        <f t="shared" si="29"/>
        <v>339</v>
      </c>
      <c r="C351" s="62" t="s">
        <v>46</v>
      </c>
      <c r="D351" s="18" t="s">
        <v>280</v>
      </c>
      <c r="E351" s="13">
        <f t="shared" si="11"/>
        <v>409879.29560779349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>
        <v>399879.29560779349</v>
      </c>
      <c r="S351" s="13">
        <v>10000</v>
      </c>
      <c r="T351" s="12"/>
      <c r="U351" s="153">
        <v>1</v>
      </c>
      <c r="V351" s="180">
        <f t="shared" si="27"/>
        <v>0</v>
      </c>
    </row>
    <row r="352" spans="1:22" x14ac:dyDescent="0.25">
      <c r="A352" s="17">
        <f t="shared" si="28"/>
        <v>340</v>
      </c>
      <c r="B352" s="17">
        <f t="shared" si="29"/>
        <v>340</v>
      </c>
      <c r="C352" s="62" t="s">
        <v>46</v>
      </c>
      <c r="D352" s="18" t="s">
        <v>281</v>
      </c>
      <c r="E352" s="13">
        <f t="shared" si="11"/>
        <v>408815.86045963498</v>
      </c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>
        <v>398815.86045963498</v>
      </c>
      <c r="S352" s="13">
        <v>10000</v>
      </c>
      <c r="T352" s="12"/>
      <c r="U352" s="153">
        <v>1</v>
      </c>
      <c r="V352" s="180">
        <f t="shared" si="27"/>
        <v>0</v>
      </c>
    </row>
    <row r="353" spans="1:22" x14ac:dyDescent="0.25">
      <c r="A353" s="17">
        <f t="shared" si="28"/>
        <v>341</v>
      </c>
      <c r="B353" s="17">
        <f t="shared" si="29"/>
        <v>341</v>
      </c>
      <c r="C353" s="62" t="s">
        <v>46</v>
      </c>
      <c r="D353" s="18" t="s">
        <v>282</v>
      </c>
      <c r="E353" s="13">
        <f t="shared" si="11"/>
        <v>2172802.8698562942</v>
      </c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>
        <v>2160802.8698562942</v>
      </c>
      <c r="S353" s="13">
        <v>12000</v>
      </c>
      <c r="T353" s="12"/>
      <c r="U353" s="153">
        <v>1</v>
      </c>
      <c r="V353" s="180">
        <f t="shared" si="27"/>
        <v>0</v>
      </c>
    </row>
    <row r="354" spans="1:22" x14ac:dyDescent="0.25">
      <c r="A354" s="17">
        <f t="shared" si="28"/>
        <v>342</v>
      </c>
      <c r="B354" s="17">
        <f t="shared" si="29"/>
        <v>342</v>
      </c>
      <c r="C354" s="62" t="s">
        <v>46</v>
      </c>
      <c r="D354" s="18" t="s">
        <v>408</v>
      </c>
      <c r="E354" s="13">
        <f t="shared" ref="E354:E379" si="30">SUM(F354:T354)</f>
        <v>934622.45</v>
      </c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>
        <v>910622.45</v>
      </c>
      <c r="S354" s="13">
        <v>24000</v>
      </c>
      <c r="T354" s="12"/>
      <c r="U354" s="153">
        <v>1</v>
      </c>
      <c r="V354" s="180">
        <f>+E354-R354-S354</f>
        <v>0</v>
      </c>
    </row>
    <row r="355" spans="1:22" x14ac:dyDescent="0.25">
      <c r="A355" s="17">
        <f t="shared" si="28"/>
        <v>343</v>
      </c>
      <c r="B355" s="17">
        <f t="shared" si="29"/>
        <v>343</v>
      </c>
      <c r="C355" s="62" t="s">
        <v>46</v>
      </c>
      <c r="D355" s="18" t="s">
        <v>409</v>
      </c>
      <c r="E355" s="13">
        <f t="shared" si="30"/>
        <v>911565.37420800002</v>
      </c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>
        <v>887565.37420800002</v>
      </c>
      <c r="S355" s="13">
        <v>24000</v>
      </c>
      <c r="T355" s="12"/>
      <c r="U355" s="153">
        <v>1</v>
      </c>
      <c r="V355" s="180">
        <f>+E355-R355-S355</f>
        <v>0</v>
      </c>
    </row>
    <row r="356" spans="1:22" x14ac:dyDescent="0.25">
      <c r="A356" s="17">
        <f t="shared" si="28"/>
        <v>344</v>
      </c>
      <c r="B356" s="17">
        <f t="shared" si="29"/>
        <v>344</v>
      </c>
      <c r="C356" s="62" t="s">
        <v>46</v>
      </c>
      <c r="D356" s="18" t="s">
        <v>410</v>
      </c>
      <c r="E356" s="13">
        <f t="shared" si="30"/>
        <v>496809.09589427832</v>
      </c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>
        <v>472809.09589427832</v>
      </c>
      <c r="S356" s="13">
        <v>24000</v>
      </c>
      <c r="T356" s="12"/>
      <c r="U356" s="153">
        <v>1</v>
      </c>
      <c r="V356" s="180">
        <f>+E356-R356-S356</f>
        <v>0</v>
      </c>
    </row>
    <row r="357" spans="1:22" x14ac:dyDescent="0.25">
      <c r="A357" s="17">
        <f t="shared" si="28"/>
        <v>345</v>
      </c>
      <c r="B357" s="17">
        <f t="shared" si="29"/>
        <v>345</v>
      </c>
      <c r="C357" s="62" t="s">
        <v>46</v>
      </c>
      <c r="D357" s="62" t="s">
        <v>528</v>
      </c>
      <c r="E357" s="13">
        <f t="shared" si="30"/>
        <v>16983.28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>
        <v>16983.28</v>
      </c>
      <c r="S357" s="13"/>
      <c r="T357" s="12"/>
      <c r="V357" s="180">
        <f t="shared" ref="V357:V363" si="31">+E357-R357-S357</f>
        <v>0</v>
      </c>
    </row>
    <row r="358" spans="1:22" x14ac:dyDescent="0.25">
      <c r="A358" s="17">
        <f t="shared" si="28"/>
        <v>346</v>
      </c>
      <c r="B358" s="17">
        <f t="shared" si="29"/>
        <v>346</v>
      </c>
      <c r="C358" s="62" t="s">
        <v>46</v>
      </c>
      <c r="D358" s="18" t="s">
        <v>411</v>
      </c>
      <c r="E358" s="13">
        <f t="shared" si="30"/>
        <v>160776.678912</v>
      </c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>
        <v>136776.678912</v>
      </c>
      <c r="S358" s="13">
        <v>24000</v>
      </c>
      <c r="T358" s="12"/>
      <c r="U358" s="153">
        <v>1</v>
      </c>
      <c r="V358" s="180">
        <f t="shared" si="31"/>
        <v>0</v>
      </c>
    </row>
    <row r="359" spans="1:22" x14ac:dyDescent="0.25">
      <c r="A359" s="17">
        <f t="shared" si="28"/>
        <v>347</v>
      </c>
      <c r="B359" s="17">
        <f t="shared" si="29"/>
        <v>347</v>
      </c>
      <c r="C359" s="62" t="s">
        <v>46</v>
      </c>
      <c r="D359" s="18" t="s">
        <v>412</v>
      </c>
      <c r="E359" s="13">
        <f t="shared" si="30"/>
        <v>1773207.5725510609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>
        <v>1749207.5725510609</v>
      </c>
      <c r="S359" s="13">
        <v>24000</v>
      </c>
      <c r="T359" s="12"/>
      <c r="U359" s="153">
        <v>1</v>
      </c>
      <c r="V359" s="180">
        <f t="shared" si="31"/>
        <v>0</v>
      </c>
    </row>
    <row r="360" spans="1:22" x14ac:dyDescent="0.25">
      <c r="A360" s="17">
        <f t="shared" si="28"/>
        <v>348</v>
      </c>
      <c r="B360" s="17">
        <f t="shared" si="29"/>
        <v>348</v>
      </c>
      <c r="C360" s="62" t="s">
        <v>46</v>
      </c>
      <c r="D360" s="18" t="s">
        <v>413</v>
      </c>
      <c r="E360" s="13">
        <f t="shared" si="30"/>
        <v>864133.50417568884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>
        <v>840133.50417568884</v>
      </c>
      <c r="S360" s="13">
        <v>24000</v>
      </c>
      <c r="T360" s="12"/>
      <c r="U360" s="153">
        <v>1</v>
      </c>
      <c r="V360" s="180">
        <f t="shared" si="31"/>
        <v>0</v>
      </c>
    </row>
    <row r="361" spans="1:22" x14ac:dyDescent="0.25">
      <c r="A361" s="17">
        <f t="shared" si="28"/>
        <v>349</v>
      </c>
      <c r="B361" s="17">
        <f t="shared" si="29"/>
        <v>349</v>
      </c>
      <c r="C361" s="62" t="s">
        <v>46</v>
      </c>
      <c r="D361" s="18" t="s">
        <v>414</v>
      </c>
      <c r="E361" s="13">
        <f t="shared" si="30"/>
        <v>1357951.5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>
        <v>1333951.5</v>
      </c>
      <c r="S361" s="13">
        <v>24000</v>
      </c>
      <c r="T361" s="12"/>
      <c r="U361" s="153">
        <v>1</v>
      </c>
      <c r="V361" s="180">
        <f t="shared" si="31"/>
        <v>0</v>
      </c>
    </row>
    <row r="362" spans="1:22" x14ac:dyDescent="0.25">
      <c r="A362" s="17">
        <f t="shared" si="28"/>
        <v>350</v>
      </c>
      <c r="B362" s="17">
        <f t="shared" si="29"/>
        <v>350</v>
      </c>
      <c r="C362" s="62" t="s">
        <v>46</v>
      </c>
      <c r="D362" s="18" t="s">
        <v>415</v>
      </c>
      <c r="E362" s="13">
        <f t="shared" si="30"/>
        <v>1007589.79</v>
      </c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>
        <v>983589.79</v>
      </c>
      <c r="S362" s="13">
        <v>24000</v>
      </c>
      <c r="T362" s="12"/>
      <c r="U362" s="153">
        <v>1</v>
      </c>
      <c r="V362" s="180">
        <f t="shared" si="31"/>
        <v>0</v>
      </c>
    </row>
    <row r="363" spans="1:22" x14ac:dyDescent="0.25">
      <c r="A363" s="17">
        <f t="shared" si="28"/>
        <v>351</v>
      </c>
      <c r="B363" s="17">
        <f t="shared" si="29"/>
        <v>351</v>
      </c>
      <c r="C363" s="62" t="s">
        <v>46</v>
      </c>
      <c r="D363" s="18" t="s">
        <v>416</v>
      </c>
      <c r="E363" s="13">
        <f t="shared" si="30"/>
        <v>935653.96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>
        <v>911653.96</v>
      </c>
      <c r="S363" s="13">
        <v>24000</v>
      </c>
      <c r="T363" s="12"/>
      <c r="U363" s="153">
        <v>1</v>
      </c>
      <c r="V363" s="180">
        <f t="shared" si="31"/>
        <v>0</v>
      </c>
    </row>
    <row r="364" spans="1:22" x14ac:dyDescent="0.25">
      <c r="A364" s="17">
        <f t="shared" si="28"/>
        <v>352</v>
      </c>
      <c r="B364" s="17">
        <f t="shared" si="29"/>
        <v>352</v>
      </c>
      <c r="C364" s="62" t="s">
        <v>46</v>
      </c>
      <c r="D364" s="62" t="s">
        <v>566</v>
      </c>
      <c r="E364" s="13">
        <f t="shared" si="30"/>
        <v>190555.65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>
        <v>166555.65</v>
      </c>
      <c r="S364" s="13">
        <v>24000</v>
      </c>
      <c r="T364" s="12"/>
    </row>
    <row r="365" spans="1:22" x14ac:dyDescent="0.25">
      <c r="A365" s="17">
        <f t="shared" si="28"/>
        <v>353</v>
      </c>
      <c r="B365" s="17">
        <f t="shared" si="29"/>
        <v>353</v>
      </c>
      <c r="C365" s="62" t="s">
        <v>46</v>
      </c>
      <c r="D365" s="62" t="s">
        <v>1184</v>
      </c>
      <c r="E365" s="13">
        <f t="shared" si="30"/>
        <v>140632.47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>
        <v>116632.47</v>
      </c>
      <c r="S365" s="13">
        <v>24000</v>
      </c>
      <c r="T365" s="12"/>
    </row>
    <row r="366" spans="1:22" x14ac:dyDescent="0.25">
      <c r="A366" s="17">
        <f t="shared" si="28"/>
        <v>354</v>
      </c>
      <c r="B366" s="17">
        <f t="shared" si="29"/>
        <v>354</v>
      </c>
      <c r="C366" s="62" t="s">
        <v>46</v>
      </c>
      <c r="D366" s="62" t="s">
        <v>567</v>
      </c>
      <c r="E366" s="13">
        <f t="shared" si="30"/>
        <v>46838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>
        <v>22838</v>
      </c>
      <c r="S366" s="13">
        <v>24000</v>
      </c>
      <c r="T366" s="12"/>
    </row>
    <row r="367" spans="1:22" x14ac:dyDescent="0.25">
      <c r="A367" s="17">
        <f t="shared" si="28"/>
        <v>355</v>
      </c>
      <c r="B367" s="17">
        <f t="shared" si="29"/>
        <v>355</v>
      </c>
      <c r="C367" s="62" t="s">
        <v>57</v>
      </c>
      <c r="D367" s="18" t="s">
        <v>417</v>
      </c>
      <c r="E367" s="13">
        <f t="shared" si="30"/>
        <v>442120.36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>
        <v>418120.36</v>
      </c>
      <c r="S367" s="13">
        <v>24000</v>
      </c>
      <c r="T367" s="12"/>
      <c r="U367" s="153">
        <v>1</v>
      </c>
      <c r="V367" s="180">
        <f>+E367-R367-S367</f>
        <v>0</v>
      </c>
    </row>
    <row r="368" spans="1:22" x14ac:dyDescent="0.25">
      <c r="A368" s="17">
        <f t="shared" si="28"/>
        <v>356</v>
      </c>
      <c r="B368" s="17">
        <f t="shared" si="29"/>
        <v>356</v>
      </c>
      <c r="C368" s="62" t="s">
        <v>535</v>
      </c>
      <c r="D368" s="62" t="s">
        <v>568</v>
      </c>
      <c r="E368" s="13">
        <f t="shared" si="30"/>
        <v>153059.96000000002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>
        <v>124669.96</v>
      </c>
      <c r="S368" s="13">
        <v>28390</v>
      </c>
      <c r="T368" s="12"/>
    </row>
    <row r="369" spans="1:22" x14ac:dyDescent="0.25">
      <c r="A369" s="17">
        <f t="shared" si="28"/>
        <v>357</v>
      </c>
      <c r="B369" s="17">
        <f t="shared" si="29"/>
        <v>357</v>
      </c>
      <c r="C369" s="62" t="s">
        <v>535</v>
      </c>
      <c r="D369" s="62" t="s">
        <v>569</v>
      </c>
      <c r="E369" s="13">
        <f t="shared" si="30"/>
        <v>213448.34</v>
      </c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>
        <v>189448.34</v>
      </c>
      <c r="S369" s="13">
        <v>24000</v>
      </c>
      <c r="T369" s="12"/>
    </row>
    <row r="370" spans="1:22" x14ac:dyDescent="0.25">
      <c r="A370" s="17">
        <f t="shared" si="28"/>
        <v>358</v>
      </c>
      <c r="B370" s="17">
        <f t="shared" si="29"/>
        <v>358</v>
      </c>
      <c r="C370" s="62" t="s">
        <v>535</v>
      </c>
      <c r="D370" s="62" t="s">
        <v>570</v>
      </c>
      <c r="E370" s="13">
        <f t="shared" si="30"/>
        <v>153772.23000000001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>
        <v>129772.23000000001</v>
      </c>
      <c r="S370" s="13">
        <v>24000</v>
      </c>
      <c r="T370" s="12"/>
    </row>
    <row r="371" spans="1:22" x14ac:dyDescent="0.25">
      <c r="A371" s="17">
        <f t="shared" si="28"/>
        <v>359</v>
      </c>
      <c r="B371" s="17">
        <f t="shared" si="29"/>
        <v>359</v>
      </c>
      <c r="C371" s="62" t="s">
        <v>535</v>
      </c>
      <c r="D371" s="62" t="s">
        <v>571</v>
      </c>
      <c r="E371" s="13">
        <f t="shared" si="30"/>
        <v>104296.5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>
        <v>80296.5</v>
      </c>
      <c r="S371" s="13">
        <v>24000</v>
      </c>
      <c r="T371" s="12"/>
    </row>
    <row r="372" spans="1:22" x14ac:dyDescent="0.25">
      <c r="A372" s="17">
        <f t="shared" si="28"/>
        <v>360</v>
      </c>
      <c r="B372" s="17">
        <f t="shared" si="29"/>
        <v>360</v>
      </c>
      <c r="C372" s="62" t="s">
        <v>535</v>
      </c>
      <c r="D372" s="62" t="s">
        <v>572</v>
      </c>
      <c r="E372" s="13">
        <f t="shared" si="30"/>
        <v>161679.23000000001</v>
      </c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>
        <v>137679.23000000001</v>
      </c>
      <c r="S372" s="13">
        <v>24000</v>
      </c>
      <c r="T372" s="12"/>
    </row>
    <row r="373" spans="1:22" x14ac:dyDescent="0.25">
      <c r="A373" s="17">
        <f t="shared" si="28"/>
        <v>361</v>
      </c>
      <c r="B373" s="17">
        <f t="shared" si="29"/>
        <v>361</v>
      </c>
      <c r="C373" s="62" t="s">
        <v>535</v>
      </c>
      <c r="D373" s="62" t="s">
        <v>1185</v>
      </c>
      <c r="E373" s="13">
        <f t="shared" si="30"/>
        <v>66155.19</v>
      </c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>
        <v>42155.19</v>
      </c>
      <c r="S373" s="13">
        <v>24000</v>
      </c>
      <c r="T373" s="12"/>
    </row>
    <row r="374" spans="1:22" x14ac:dyDescent="0.25">
      <c r="A374" s="17">
        <f t="shared" si="28"/>
        <v>362</v>
      </c>
      <c r="B374" s="17">
        <f t="shared" si="29"/>
        <v>362</v>
      </c>
      <c r="C374" s="62" t="s">
        <v>58</v>
      </c>
      <c r="D374" s="18" t="s">
        <v>418</v>
      </c>
      <c r="E374" s="13">
        <f t="shared" si="30"/>
        <v>552937.23</v>
      </c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>
        <v>528937.23</v>
      </c>
      <c r="S374" s="13">
        <v>24000</v>
      </c>
      <c r="T374" s="12"/>
      <c r="U374" s="153">
        <v>1</v>
      </c>
      <c r="V374" s="180">
        <f t="shared" ref="V374:V379" si="32">+E374-R374-S374</f>
        <v>0</v>
      </c>
    </row>
    <row r="375" spans="1:22" x14ac:dyDescent="0.25">
      <c r="A375" s="17">
        <f t="shared" si="28"/>
        <v>363</v>
      </c>
      <c r="B375" s="17">
        <f t="shared" si="29"/>
        <v>363</v>
      </c>
      <c r="C375" s="62" t="s">
        <v>58</v>
      </c>
      <c r="D375" s="18" t="s">
        <v>419</v>
      </c>
      <c r="E375" s="13">
        <f t="shared" si="30"/>
        <v>553802.07999999996</v>
      </c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>
        <v>529802.07999999996</v>
      </c>
      <c r="S375" s="13">
        <v>24000</v>
      </c>
      <c r="T375" s="12"/>
      <c r="U375" s="153">
        <v>1</v>
      </c>
      <c r="V375" s="180">
        <f t="shared" si="32"/>
        <v>0</v>
      </c>
    </row>
    <row r="376" spans="1:22" x14ac:dyDescent="0.25">
      <c r="A376" s="17">
        <f t="shared" si="28"/>
        <v>364</v>
      </c>
      <c r="B376" s="17">
        <f t="shared" si="29"/>
        <v>364</v>
      </c>
      <c r="C376" s="62" t="s">
        <v>58</v>
      </c>
      <c r="D376" s="18" t="s">
        <v>420</v>
      </c>
      <c r="E376" s="13">
        <f t="shared" si="30"/>
        <v>576194.22</v>
      </c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>
        <v>552194.22</v>
      </c>
      <c r="S376" s="13">
        <v>24000</v>
      </c>
      <c r="T376" s="12"/>
      <c r="U376" s="153">
        <v>1</v>
      </c>
      <c r="V376" s="180">
        <f t="shared" si="32"/>
        <v>0</v>
      </c>
    </row>
    <row r="377" spans="1:22" x14ac:dyDescent="0.25">
      <c r="A377" s="17">
        <f t="shared" si="28"/>
        <v>365</v>
      </c>
      <c r="B377" s="17">
        <f t="shared" si="29"/>
        <v>365</v>
      </c>
      <c r="C377" s="62" t="s">
        <v>58</v>
      </c>
      <c r="D377" s="18" t="s">
        <v>421</v>
      </c>
      <c r="E377" s="13">
        <f t="shared" si="30"/>
        <v>466481.40988416004</v>
      </c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>
        <v>442481.40988416004</v>
      </c>
      <c r="S377" s="13">
        <v>24000</v>
      </c>
      <c r="T377" s="12"/>
      <c r="U377" s="153">
        <v>1</v>
      </c>
      <c r="V377" s="180">
        <f t="shared" si="32"/>
        <v>0</v>
      </c>
    </row>
    <row r="378" spans="1:22" x14ac:dyDescent="0.25">
      <c r="A378" s="17">
        <f t="shared" si="28"/>
        <v>366</v>
      </c>
      <c r="B378" s="17">
        <f t="shared" si="29"/>
        <v>366</v>
      </c>
      <c r="C378" s="62" t="s">
        <v>58</v>
      </c>
      <c r="D378" s="18" t="s">
        <v>422</v>
      </c>
      <c r="E378" s="13">
        <f t="shared" si="30"/>
        <v>568211.22844800004</v>
      </c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>
        <v>544211.22844800004</v>
      </c>
      <c r="S378" s="13">
        <v>24000</v>
      </c>
      <c r="T378" s="12"/>
      <c r="U378" s="153">
        <v>1</v>
      </c>
      <c r="V378" s="180">
        <f t="shared" si="32"/>
        <v>0</v>
      </c>
    </row>
    <row r="379" spans="1:22" x14ac:dyDescent="0.25">
      <c r="A379" s="17">
        <f t="shared" si="28"/>
        <v>367</v>
      </c>
      <c r="B379" s="17">
        <f t="shared" si="29"/>
        <v>367</v>
      </c>
      <c r="C379" s="62" t="s">
        <v>58</v>
      </c>
      <c r="D379" s="18" t="s">
        <v>423</v>
      </c>
      <c r="E379" s="13">
        <f t="shared" si="30"/>
        <v>568012.34</v>
      </c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>
        <v>544012.34</v>
      </c>
      <c r="S379" s="13">
        <v>24000</v>
      </c>
      <c r="T379" s="12"/>
      <c r="U379" s="153">
        <v>1</v>
      </c>
      <c r="V379" s="180">
        <f t="shared" si="32"/>
        <v>0</v>
      </c>
    </row>
    <row r="380" spans="1:22" x14ac:dyDescent="0.25">
      <c r="A380" s="17">
        <f t="shared" si="28"/>
        <v>368</v>
      </c>
      <c r="B380" s="17">
        <f t="shared" si="29"/>
        <v>368</v>
      </c>
      <c r="C380" s="62" t="s">
        <v>58</v>
      </c>
      <c r="D380" s="18" t="s">
        <v>284</v>
      </c>
      <c r="E380" s="13">
        <f t="shared" si="11"/>
        <v>381208.15876160114</v>
      </c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>
        <v>357208.15876160114</v>
      </c>
      <c r="S380" s="13">
        <v>24000</v>
      </c>
      <c r="T380" s="12"/>
      <c r="U380" s="153">
        <v>1</v>
      </c>
      <c r="V380" s="180">
        <f t="shared" si="27"/>
        <v>0</v>
      </c>
    </row>
    <row r="381" spans="1:22" x14ac:dyDescent="0.25">
      <c r="A381" s="17">
        <f t="shared" si="28"/>
        <v>369</v>
      </c>
      <c r="B381" s="17">
        <f t="shared" si="29"/>
        <v>369</v>
      </c>
      <c r="C381" s="62" t="s">
        <v>58</v>
      </c>
      <c r="D381" s="18" t="s">
        <v>285</v>
      </c>
      <c r="E381" s="13">
        <f t="shared" si="11"/>
        <v>324873.81914350996</v>
      </c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>
        <v>300873.81914350996</v>
      </c>
      <c r="S381" s="13">
        <v>24000</v>
      </c>
      <c r="T381" s="12"/>
      <c r="U381" s="153">
        <v>1</v>
      </c>
      <c r="V381" s="180">
        <f t="shared" si="27"/>
        <v>0</v>
      </c>
    </row>
    <row r="382" spans="1:22" x14ac:dyDescent="0.25">
      <c r="A382" s="17">
        <f t="shared" si="28"/>
        <v>370</v>
      </c>
      <c r="B382" s="17">
        <f t="shared" si="29"/>
        <v>370</v>
      </c>
      <c r="C382" s="62" t="s">
        <v>512</v>
      </c>
      <c r="D382" s="18" t="s">
        <v>283</v>
      </c>
      <c r="E382" s="13">
        <f>SUM(F382:T382)</f>
        <v>1851214.5910470171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>
        <v>1839214.5910470171</v>
      </c>
      <c r="S382" s="13">
        <v>12000</v>
      </c>
      <c r="T382" s="12"/>
      <c r="U382" s="153">
        <v>1</v>
      </c>
      <c r="V382" s="180">
        <f>+E382-R382-S382</f>
        <v>0</v>
      </c>
    </row>
    <row r="383" spans="1:22" x14ac:dyDescent="0.25">
      <c r="A383" s="17">
        <f t="shared" si="28"/>
        <v>371</v>
      </c>
      <c r="B383" s="17">
        <f t="shared" si="29"/>
        <v>371</v>
      </c>
      <c r="C383" s="62" t="s">
        <v>512</v>
      </c>
      <c r="D383" s="62" t="s">
        <v>573</v>
      </c>
      <c r="E383" s="13">
        <f>SUM(F383:T383)</f>
        <v>77313.759999999995</v>
      </c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>
        <v>53313.759999999995</v>
      </c>
      <c r="S383" s="13">
        <v>24000</v>
      </c>
      <c r="T383" s="12"/>
    </row>
    <row r="384" spans="1:22" x14ac:dyDescent="0.25">
      <c r="A384" s="17">
        <f t="shared" si="28"/>
        <v>372</v>
      </c>
      <c r="B384" s="17">
        <f t="shared" si="29"/>
        <v>372</v>
      </c>
      <c r="C384" s="62" t="s">
        <v>512</v>
      </c>
      <c r="D384" s="62" t="s">
        <v>574</v>
      </c>
      <c r="E384" s="13">
        <f>SUM(F384:T384)</f>
        <v>85409.67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>
        <v>61409.67</v>
      </c>
      <c r="S384" s="13">
        <v>24000</v>
      </c>
      <c r="T384" s="12"/>
    </row>
    <row r="385" spans="1:22" x14ac:dyDescent="0.25">
      <c r="A385" s="17">
        <f t="shared" si="28"/>
        <v>373</v>
      </c>
      <c r="B385" s="17">
        <f t="shared" si="29"/>
        <v>373</v>
      </c>
      <c r="C385" s="62" t="s">
        <v>73</v>
      </c>
      <c r="D385" s="18" t="s">
        <v>424</v>
      </c>
      <c r="E385" s="13">
        <f>SUM(F385:T385)</f>
        <v>143639</v>
      </c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>
        <v>119639</v>
      </c>
      <c r="S385" s="13">
        <v>24000</v>
      </c>
      <c r="T385" s="12"/>
      <c r="U385" s="153">
        <v>1</v>
      </c>
      <c r="V385" s="180">
        <f>+E385-R385-S385</f>
        <v>0</v>
      </c>
    </row>
    <row r="386" spans="1:22" x14ac:dyDescent="0.25">
      <c r="A386" s="17">
        <f t="shared" si="28"/>
        <v>374</v>
      </c>
      <c r="B386" s="17">
        <f t="shared" si="29"/>
        <v>374</v>
      </c>
      <c r="C386" s="62" t="s">
        <v>73</v>
      </c>
      <c r="D386" s="18" t="s">
        <v>286</v>
      </c>
      <c r="E386" s="13">
        <f t="shared" si="11"/>
        <v>188216.97</v>
      </c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>
        <v>180216.97</v>
      </c>
      <c r="S386" s="13">
        <v>8000</v>
      </c>
      <c r="T386" s="12"/>
      <c r="U386" s="153">
        <v>1</v>
      </c>
      <c r="V386" s="180">
        <f t="shared" si="27"/>
        <v>0</v>
      </c>
    </row>
    <row r="387" spans="1:22" x14ac:dyDescent="0.25">
      <c r="A387" s="17">
        <f t="shared" si="28"/>
        <v>375</v>
      </c>
      <c r="B387" s="17">
        <f t="shared" si="29"/>
        <v>375</v>
      </c>
      <c r="C387" s="62" t="s">
        <v>73</v>
      </c>
      <c r="D387" s="18" t="s">
        <v>575</v>
      </c>
      <c r="E387" s="13">
        <f>SUM(F387:T387)</f>
        <v>154976.76</v>
      </c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>
        <v>144976.76</v>
      </c>
      <c r="S387" s="13">
        <f>10000</f>
        <v>10000</v>
      </c>
      <c r="T387" s="12"/>
      <c r="U387" s="181">
        <v>1</v>
      </c>
      <c r="V387" s="180">
        <f>+E387-R387-S387</f>
        <v>0</v>
      </c>
    </row>
    <row r="388" spans="1:22" x14ac:dyDescent="0.25">
      <c r="A388" s="17">
        <f t="shared" si="28"/>
        <v>376</v>
      </c>
      <c r="B388" s="17">
        <f t="shared" si="29"/>
        <v>376</v>
      </c>
      <c r="C388" s="62" t="s">
        <v>517</v>
      </c>
      <c r="D388" s="18" t="s">
        <v>462</v>
      </c>
      <c r="E388" s="13">
        <f>SUM(F388:T388)</f>
        <v>455299.98</v>
      </c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>
        <v>445299.98</v>
      </c>
      <c r="S388" s="13">
        <v>10000</v>
      </c>
      <c r="T388" s="12"/>
      <c r="U388" s="153">
        <v>1</v>
      </c>
      <c r="V388" s="180">
        <f>+E388-R388-S388</f>
        <v>0</v>
      </c>
    </row>
    <row r="389" spans="1:22" x14ac:dyDescent="0.25">
      <c r="A389" s="17">
        <f t="shared" si="28"/>
        <v>377</v>
      </c>
      <c r="B389" s="17">
        <f t="shared" si="29"/>
        <v>377</v>
      </c>
      <c r="C389" s="62" t="s">
        <v>517</v>
      </c>
      <c r="D389" s="18" t="s">
        <v>352</v>
      </c>
      <c r="E389" s="13">
        <f t="shared" ref="E389:E410" si="33">SUM(F389:T389)</f>
        <v>1132732.07</v>
      </c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>
        <v>1098732.07</v>
      </c>
      <c r="S389" s="13">
        <v>34000</v>
      </c>
      <c r="T389" s="12"/>
      <c r="U389" s="153">
        <v>1</v>
      </c>
      <c r="V389" s="180">
        <f t="shared" ref="V389:V422" si="34">+E389-R389-S389</f>
        <v>0</v>
      </c>
    </row>
    <row r="390" spans="1:22" x14ac:dyDescent="0.25">
      <c r="A390" s="17">
        <f t="shared" si="28"/>
        <v>378</v>
      </c>
      <c r="B390" s="17">
        <f t="shared" si="29"/>
        <v>378</v>
      </c>
      <c r="C390" s="62" t="s">
        <v>517</v>
      </c>
      <c r="D390" s="18" t="s">
        <v>353</v>
      </c>
      <c r="E390" s="13">
        <f t="shared" si="33"/>
        <v>1137143.08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>
        <v>1103143.08</v>
      </c>
      <c r="S390" s="13">
        <v>34000</v>
      </c>
      <c r="T390" s="12"/>
      <c r="U390" s="153">
        <v>1</v>
      </c>
      <c r="V390" s="180">
        <f t="shared" si="34"/>
        <v>0</v>
      </c>
    </row>
    <row r="391" spans="1:22" x14ac:dyDescent="0.25">
      <c r="A391" s="17">
        <f t="shared" si="28"/>
        <v>379</v>
      </c>
      <c r="B391" s="17">
        <f t="shared" si="29"/>
        <v>379</v>
      </c>
      <c r="C391" s="62" t="s">
        <v>517</v>
      </c>
      <c r="D391" s="18" t="s">
        <v>354</v>
      </c>
      <c r="E391" s="13">
        <f t="shared" si="33"/>
        <v>1133197.49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>
        <v>1099197.49</v>
      </c>
      <c r="S391" s="13">
        <v>34000</v>
      </c>
      <c r="T391" s="12"/>
      <c r="U391" s="153">
        <v>1</v>
      </c>
      <c r="V391" s="180">
        <f t="shared" si="34"/>
        <v>0</v>
      </c>
    </row>
    <row r="392" spans="1:22" x14ac:dyDescent="0.25">
      <c r="A392" s="17">
        <f t="shared" si="28"/>
        <v>380</v>
      </c>
      <c r="B392" s="17">
        <f t="shared" si="29"/>
        <v>380</v>
      </c>
      <c r="C392" s="62" t="s">
        <v>517</v>
      </c>
      <c r="D392" s="18" t="s">
        <v>355</v>
      </c>
      <c r="E392" s="13">
        <f t="shared" si="33"/>
        <v>1385746.94</v>
      </c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>
        <v>1351746.94</v>
      </c>
      <c r="S392" s="13">
        <v>34000</v>
      </c>
      <c r="T392" s="12"/>
      <c r="U392" s="153">
        <v>1</v>
      </c>
      <c r="V392" s="180">
        <f t="shared" si="34"/>
        <v>0</v>
      </c>
    </row>
    <row r="393" spans="1:22" x14ac:dyDescent="0.25">
      <c r="A393" s="17">
        <f t="shared" si="28"/>
        <v>381</v>
      </c>
      <c r="B393" s="17">
        <f t="shared" si="29"/>
        <v>381</v>
      </c>
      <c r="C393" s="62" t="s">
        <v>517</v>
      </c>
      <c r="D393" s="18" t="s">
        <v>356</v>
      </c>
      <c r="E393" s="13">
        <f t="shared" si="33"/>
        <v>1143521.6100000001</v>
      </c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>
        <v>1109521.6100000001</v>
      </c>
      <c r="S393" s="13">
        <v>34000</v>
      </c>
      <c r="T393" s="12"/>
      <c r="U393" s="153">
        <v>1</v>
      </c>
      <c r="V393" s="180">
        <f t="shared" si="34"/>
        <v>0</v>
      </c>
    </row>
    <row r="394" spans="1:22" x14ac:dyDescent="0.25">
      <c r="A394" s="17">
        <f t="shared" si="28"/>
        <v>382</v>
      </c>
      <c r="B394" s="17">
        <f t="shared" si="29"/>
        <v>382</v>
      </c>
      <c r="C394" s="62" t="s">
        <v>517</v>
      </c>
      <c r="D394" s="18" t="s">
        <v>357</v>
      </c>
      <c r="E394" s="13">
        <f t="shared" si="33"/>
        <v>1198330.0999999999</v>
      </c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>
        <v>1164330.0999999999</v>
      </c>
      <c r="S394" s="13">
        <v>34000</v>
      </c>
      <c r="T394" s="12"/>
      <c r="U394" s="153">
        <v>1</v>
      </c>
      <c r="V394" s="180">
        <f t="shared" si="34"/>
        <v>0</v>
      </c>
    </row>
    <row r="395" spans="1:22" x14ac:dyDescent="0.25">
      <c r="A395" s="17">
        <f t="shared" si="28"/>
        <v>383</v>
      </c>
      <c r="B395" s="17">
        <f t="shared" si="29"/>
        <v>383</v>
      </c>
      <c r="C395" s="62" t="s">
        <v>136</v>
      </c>
      <c r="D395" s="18" t="s">
        <v>577</v>
      </c>
      <c r="E395" s="13">
        <f>SUM(F395:T395)</f>
        <v>343290.73</v>
      </c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>
        <v>309167.73</v>
      </c>
      <c r="S395" s="13">
        <f>34123</f>
        <v>34123</v>
      </c>
      <c r="T395" s="12"/>
      <c r="U395" s="183">
        <v>1</v>
      </c>
      <c r="V395" s="180">
        <f>+E395-R395-S395</f>
        <v>0</v>
      </c>
    </row>
    <row r="396" spans="1:22" x14ac:dyDescent="0.25">
      <c r="A396" s="17">
        <f t="shared" si="28"/>
        <v>384</v>
      </c>
      <c r="B396" s="17">
        <f t="shared" si="29"/>
        <v>384</v>
      </c>
      <c r="C396" s="62" t="s">
        <v>136</v>
      </c>
      <c r="D396" s="18" t="s">
        <v>579</v>
      </c>
      <c r="E396" s="13">
        <f>SUM(F396:T396)</f>
        <v>286990.15000000002</v>
      </c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>
        <v>258542.15000000002</v>
      </c>
      <c r="S396" s="13">
        <f>28448</f>
        <v>28448</v>
      </c>
      <c r="T396" s="12"/>
      <c r="U396" s="183">
        <v>1</v>
      </c>
      <c r="V396" s="180">
        <f>+E396-R396-S396</f>
        <v>0</v>
      </c>
    </row>
    <row r="397" spans="1:22" x14ac:dyDescent="0.25">
      <c r="A397" s="17">
        <f t="shared" si="28"/>
        <v>385</v>
      </c>
      <c r="B397" s="17">
        <f t="shared" si="29"/>
        <v>385</v>
      </c>
      <c r="C397" s="62" t="s">
        <v>476</v>
      </c>
      <c r="D397" s="18" t="s">
        <v>581</v>
      </c>
      <c r="E397" s="13">
        <f>SUM(F397:T397)</f>
        <v>231559.53999999998</v>
      </c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>
        <v>195999.53999999998</v>
      </c>
      <c r="S397" s="13">
        <f>35560</f>
        <v>35560</v>
      </c>
      <c r="T397" s="12"/>
      <c r="U397" s="183">
        <v>1</v>
      </c>
      <c r="V397" s="180">
        <f>+E397-R397-S397</f>
        <v>0</v>
      </c>
    </row>
    <row r="398" spans="1:22" x14ac:dyDescent="0.25">
      <c r="A398" s="17">
        <f t="shared" si="28"/>
        <v>386</v>
      </c>
      <c r="B398" s="17">
        <f t="shared" si="29"/>
        <v>386</v>
      </c>
      <c r="C398" s="62" t="s">
        <v>968</v>
      </c>
      <c r="D398" s="18" t="s">
        <v>583</v>
      </c>
      <c r="E398" s="13">
        <f>SUM(F398:T398)</f>
        <v>227216.73</v>
      </c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>
        <v>192510.73</v>
      </c>
      <c r="S398" s="13">
        <v>34706</v>
      </c>
      <c r="T398" s="12"/>
    </row>
    <row r="399" spans="1:22" x14ac:dyDescent="0.25">
      <c r="A399" s="17">
        <f t="shared" ref="A399:A424" si="35">+A398+1</f>
        <v>387</v>
      </c>
      <c r="B399" s="17">
        <f t="shared" ref="B399:B424" si="36">+B398+1</f>
        <v>387</v>
      </c>
      <c r="C399" s="62" t="s">
        <v>600</v>
      </c>
      <c r="D399" s="62" t="s">
        <v>601</v>
      </c>
      <c r="E399" s="13">
        <f>SUM(F399:T399)</f>
        <v>12192.37</v>
      </c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>
        <v>12192.37</v>
      </c>
      <c r="S399" s="13"/>
      <c r="T399" s="12"/>
    </row>
    <row r="400" spans="1:22" x14ac:dyDescent="0.25">
      <c r="A400" s="17">
        <f t="shared" si="35"/>
        <v>388</v>
      </c>
      <c r="B400" s="17">
        <f t="shared" si="36"/>
        <v>388</v>
      </c>
      <c r="C400" s="62" t="s">
        <v>518</v>
      </c>
      <c r="D400" s="18" t="s">
        <v>358</v>
      </c>
      <c r="E400" s="13">
        <f t="shared" si="33"/>
        <v>188310.15</v>
      </c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>
        <v>180310.15</v>
      </c>
      <c r="S400" s="13">
        <v>8000</v>
      </c>
      <c r="T400" s="12"/>
      <c r="U400" s="153">
        <v>1</v>
      </c>
      <c r="V400" s="180">
        <f t="shared" si="34"/>
        <v>0</v>
      </c>
    </row>
    <row r="401" spans="1:22" x14ac:dyDescent="0.25">
      <c r="A401" s="17">
        <f t="shared" si="35"/>
        <v>389</v>
      </c>
      <c r="B401" s="17">
        <f t="shared" si="36"/>
        <v>389</v>
      </c>
      <c r="C401" s="62" t="s">
        <v>137</v>
      </c>
      <c r="D401" s="18" t="s">
        <v>359</v>
      </c>
      <c r="E401" s="13">
        <f t="shared" si="33"/>
        <v>1150935.7799999998</v>
      </c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>
        <v>1126935.7799999998</v>
      </c>
      <c r="S401" s="13">
        <v>24000</v>
      </c>
      <c r="T401" s="12"/>
      <c r="U401" s="153">
        <v>1</v>
      </c>
      <c r="V401" s="180">
        <f t="shared" si="34"/>
        <v>0</v>
      </c>
    </row>
    <row r="402" spans="1:22" x14ac:dyDescent="0.25">
      <c r="A402" s="17">
        <f t="shared" si="35"/>
        <v>390</v>
      </c>
      <c r="B402" s="17">
        <f t="shared" si="36"/>
        <v>390</v>
      </c>
      <c r="C402" s="62" t="s">
        <v>137</v>
      </c>
      <c r="D402" s="18" t="s">
        <v>360</v>
      </c>
      <c r="E402" s="13">
        <f t="shared" si="33"/>
        <v>338593.19</v>
      </c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>
        <v>314593.19</v>
      </c>
      <c r="S402" s="13">
        <v>24000</v>
      </c>
      <c r="T402" s="12"/>
      <c r="U402" s="153">
        <v>1</v>
      </c>
      <c r="V402" s="180">
        <f t="shared" si="34"/>
        <v>0</v>
      </c>
    </row>
    <row r="403" spans="1:22" x14ac:dyDescent="0.25">
      <c r="A403" s="17">
        <f t="shared" si="35"/>
        <v>391</v>
      </c>
      <c r="B403" s="17">
        <f t="shared" si="36"/>
        <v>391</v>
      </c>
      <c r="C403" s="62" t="s">
        <v>967</v>
      </c>
      <c r="D403" s="18" t="s">
        <v>361</v>
      </c>
      <c r="E403" s="13">
        <f t="shared" si="33"/>
        <v>133997.25</v>
      </c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>
        <v>109997.25</v>
      </c>
      <c r="S403" s="13">
        <v>24000</v>
      </c>
      <c r="T403" s="12"/>
      <c r="U403" s="153">
        <v>1</v>
      </c>
      <c r="V403" s="180">
        <f t="shared" si="34"/>
        <v>0</v>
      </c>
    </row>
    <row r="404" spans="1:22" x14ac:dyDescent="0.25">
      <c r="A404" s="17">
        <f t="shared" si="35"/>
        <v>392</v>
      </c>
      <c r="B404" s="17">
        <f t="shared" si="36"/>
        <v>392</v>
      </c>
      <c r="C404" s="62" t="s">
        <v>967</v>
      </c>
      <c r="D404" s="18" t="s">
        <v>362</v>
      </c>
      <c r="E404" s="13">
        <f t="shared" si="33"/>
        <v>134321.91999999998</v>
      </c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>
        <v>110321.91999999998</v>
      </c>
      <c r="S404" s="13">
        <v>24000</v>
      </c>
      <c r="T404" s="12"/>
      <c r="U404" s="153">
        <v>1</v>
      </c>
      <c r="V404" s="180">
        <f t="shared" si="34"/>
        <v>0</v>
      </c>
    </row>
    <row r="405" spans="1:22" x14ac:dyDescent="0.25">
      <c r="A405" s="17">
        <f t="shared" si="35"/>
        <v>393</v>
      </c>
      <c r="B405" s="17">
        <f t="shared" si="36"/>
        <v>393</v>
      </c>
      <c r="C405" s="62" t="s">
        <v>520</v>
      </c>
      <c r="D405" s="18" t="s">
        <v>363</v>
      </c>
      <c r="E405" s="13">
        <f t="shared" si="33"/>
        <v>499228.68</v>
      </c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>
        <v>489228.68</v>
      </c>
      <c r="S405" s="13">
        <v>10000</v>
      </c>
      <c r="T405" s="12"/>
      <c r="U405" s="153">
        <v>1</v>
      </c>
      <c r="V405" s="180">
        <f t="shared" si="34"/>
        <v>0</v>
      </c>
    </row>
    <row r="406" spans="1:22" x14ac:dyDescent="0.25">
      <c r="A406" s="17">
        <f t="shared" si="35"/>
        <v>394</v>
      </c>
      <c r="B406" s="17">
        <f t="shared" si="36"/>
        <v>394</v>
      </c>
      <c r="C406" s="62" t="s">
        <v>521</v>
      </c>
      <c r="D406" s="18" t="s">
        <v>364</v>
      </c>
      <c r="E406" s="13">
        <f t="shared" si="33"/>
        <v>559606.71</v>
      </c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>
        <v>535606.71</v>
      </c>
      <c r="S406" s="13">
        <v>24000</v>
      </c>
      <c r="T406" s="12"/>
      <c r="U406" s="153">
        <v>1</v>
      </c>
      <c r="V406" s="180">
        <f t="shared" si="34"/>
        <v>0</v>
      </c>
    </row>
    <row r="407" spans="1:22" x14ac:dyDescent="0.25">
      <c r="A407" s="17">
        <f t="shared" si="35"/>
        <v>395</v>
      </c>
      <c r="B407" s="17">
        <f t="shared" si="36"/>
        <v>395</v>
      </c>
      <c r="C407" s="62" t="s">
        <v>521</v>
      </c>
      <c r="D407" s="18" t="s">
        <v>365</v>
      </c>
      <c r="E407" s="13">
        <f t="shared" si="33"/>
        <v>233973.65</v>
      </c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>
        <v>209973.65</v>
      </c>
      <c r="S407" s="13">
        <v>24000</v>
      </c>
      <c r="T407" s="12"/>
      <c r="U407" s="153">
        <v>1</v>
      </c>
      <c r="V407" s="180">
        <f t="shared" si="34"/>
        <v>0</v>
      </c>
    </row>
    <row r="408" spans="1:22" x14ac:dyDescent="0.25">
      <c r="A408" s="17">
        <f t="shared" si="35"/>
        <v>396</v>
      </c>
      <c r="B408" s="17">
        <f t="shared" si="36"/>
        <v>396</v>
      </c>
      <c r="C408" s="62" t="s">
        <v>521</v>
      </c>
      <c r="D408" s="18" t="s">
        <v>366</v>
      </c>
      <c r="E408" s="13">
        <f t="shared" si="33"/>
        <v>233740.11000000002</v>
      </c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>
        <v>209740.11000000002</v>
      </c>
      <c r="S408" s="13">
        <v>24000</v>
      </c>
      <c r="T408" s="12"/>
      <c r="U408" s="153">
        <v>1</v>
      </c>
      <c r="V408" s="180">
        <f t="shared" si="34"/>
        <v>0</v>
      </c>
    </row>
    <row r="409" spans="1:22" x14ac:dyDescent="0.25">
      <c r="A409" s="17">
        <f t="shared" si="35"/>
        <v>397</v>
      </c>
      <c r="B409" s="17">
        <f t="shared" si="36"/>
        <v>397</v>
      </c>
      <c r="C409" s="62" t="s">
        <v>521</v>
      </c>
      <c r="D409" s="18" t="s">
        <v>367</v>
      </c>
      <c r="E409" s="13">
        <f t="shared" si="33"/>
        <v>181002.58000000002</v>
      </c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>
        <v>157002.58000000002</v>
      </c>
      <c r="S409" s="13">
        <v>24000</v>
      </c>
      <c r="T409" s="12"/>
      <c r="U409" s="153">
        <v>1</v>
      </c>
      <c r="V409" s="180">
        <f t="shared" si="34"/>
        <v>0</v>
      </c>
    </row>
    <row r="410" spans="1:22" x14ac:dyDescent="0.25">
      <c r="A410" s="17">
        <f t="shared" si="35"/>
        <v>398</v>
      </c>
      <c r="B410" s="17">
        <f t="shared" si="36"/>
        <v>398</v>
      </c>
      <c r="C410" s="62" t="s">
        <v>521</v>
      </c>
      <c r="D410" s="18" t="s">
        <v>368</v>
      </c>
      <c r="E410" s="13">
        <f t="shared" si="33"/>
        <v>180630.75</v>
      </c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>
        <v>156630.75</v>
      </c>
      <c r="S410" s="13">
        <v>24000</v>
      </c>
      <c r="T410" s="12"/>
      <c r="U410" s="153">
        <v>1</v>
      </c>
      <c r="V410" s="180">
        <f t="shared" si="34"/>
        <v>0</v>
      </c>
    </row>
    <row r="411" spans="1:22" x14ac:dyDescent="0.25">
      <c r="A411" s="17">
        <f t="shared" si="35"/>
        <v>399</v>
      </c>
      <c r="B411" s="17">
        <f t="shared" si="36"/>
        <v>399</v>
      </c>
      <c r="C411" s="62" t="s">
        <v>137</v>
      </c>
      <c r="D411" s="18" t="s">
        <v>463</v>
      </c>
      <c r="E411" s="13">
        <f t="shared" ref="E411:E421" si="37">SUM(F411:T411)</f>
        <v>861634.79</v>
      </c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>
        <v>851634.79</v>
      </c>
      <c r="S411" s="13">
        <v>10000</v>
      </c>
      <c r="T411" s="12"/>
      <c r="U411" s="153">
        <v>1</v>
      </c>
      <c r="V411" s="180">
        <f t="shared" si="34"/>
        <v>0</v>
      </c>
    </row>
    <row r="412" spans="1:22" x14ac:dyDescent="0.25">
      <c r="A412" s="17">
        <f t="shared" si="35"/>
        <v>400</v>
      </c>
      <c r="B412" s="17">
        <f t="shared" si="36"/>
        <v>400</v>
      </c>
      <c r="C412" s="62" t="s">
        <v>137</v>
      </c>
      <c r="D412" s="18" t="s">
        <v>603</v>
      </c>
      <c r="E412" s="13">
        <f t="shared" si="37"/>
        <v>177445.02</v>
      </c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>
        <v>177445.02</v>
      </c>
      <c r="S412" s="13"/>
      <c r="T412" s="12"/>
      <c r="U412" s="153"/>
      <c r="V412" s="180"/>
    </row>
    <row r="413" spans="1:22" x14ac:dyDescent="0.25">
      <c r="A413" s="17">
        <f t="shared" si="35"/>
        <v>401</v>
      </c>
      <c r="B413" s="17">
        <f t="shared" si="36"/>
        <v>401</v>
      </c>
      <c r="C413" s="62" t="s">
        <v>137</v>
      </c>
      <c r="D413" s="18" t="s">
        <v>464</v>
      </c>
      <c r="E413" s="13">
        <f t="shared" si="37"/>
        <v>177214.19</v>
      </c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>
        <v>169214.19</v>
      </c>
      <c r="S413" s="13">
        <v>8000</v>
      </c>
      <c r="T413" s="12"/>
      <c r="U413" s="153">
        <v>1</v>
      </c>
      <c r="V413" s="180">
        <f t="shared" si="34"/>
        <v>0</v>
      </c>
    </row>
    <row r="414" spans="1:22" x14ac:dyDescent="0.25">
      <c r="A414" s="17">
        <f t="shared" si="35"/>
        <v>402</v>
      </c>
      <c r="B414" s="17">
        <f t="shared" si="36"/>
        <v>402</v>
      </c>
      <c r="C414" s="62" t="s">
        <v>138</v>
      </c>
      <c r="D414" s="18" t="s">
        <v>465</v>
      </c>
      <c r="E414" s="13">
        <f t="shared" si="37"/>
        <v>128755.15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>
        <v>120755.15</v>
      </c>
      <c r="S414" s="13">
        <v>8000</v>
      </c>
      <c r="T414" s="12"/>
      <c r="U414" s="153">
        <v>1</v>
      </c>
      <c r="V414" s="180">
        <f t="shared" si="34"/>
        <v>0</v>
      </c>
    </row>
    <row r="415" spans="1:22" x14ac:dyDescent="0.25">
      <c r="A415" s="17">
        <f t="shared" si="35"/>
        <v>403</v>
      </c>
      <c r="B415" s="17">
        <f t="shared" si="36"/>
        <v>403</v>
      </c>
      <c r="C415" s="62" t="s">
        <v>521</v>
      </c>
      <c r="D415" s="18" t="s">
        <v>466</v>
      </c>
      <c r="E415" s="13">
        <f t="shared" si="37"/>
        <v>791799.27999999991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>
        <v>781799.27999999991</v>
      </c>
      <c r="S415" s="13">
        <v>10000</v>
      </c>
      <c r="T415" s="12"/>
      <c r="U415" s="153">
        <v>1</v>
      </c>
      <c r="V415" s="180">
        <f t="shared" si="34"/>
        <v>0</v>
      </c>
    </row>
    <row r="416" spans="1:22" x14ac:dyDescent="0.25">
      <c r="A416" s="17">
        <f t="shared" si="35"/>
        <v>404</v>
      </c>
      <c r="B416" s="17">
        <f t="shared" si="36"/>
        <v>404</v>
      </c>
      <c r="C416" s="62" t="s">
        <v>521</v>
      </c>
      <c r="D416" s="18" t="s">
        <v>467</v>
      </c>
      <c r="E416" s="13">
        <f t="shared" si="37"/>
        <v>491970.58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>
        <f>480805.03+1165.55</f>
        <v>481970.58</v>
      </c>
      <c r="S416" s="13">
        <v>10000</v>
      </c>
      <c r="T416" s="12"/>
      <c r="U416" s="153">
        <v>1</v>
      </c>
      <c r="V416" s="180">
        <f t="shared" si="34"/>
        <v>0</v>
      </c>
    </row>
    <row r="417" spans="1:22" x14ac:dyDescent="0.25">
      <c r="A417" s="17">
        <f t="shared" si="35"/>
        <v>405</v>
      </c>
      <c r="B417" s="17">
        <f t="shared" si="36"/>
        <v>405</v>
      </c>
      <c r="C417" s="62" t="s">
        <v>521</v>
      </c>
      <c r="D417" s="18" t="s">
        <v>468</v>
      </c>
      <c r="E417" s="13">
        <f t="shared" si="37"/>
        <v>579805.47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>
        <v>569805.47</v>
      </c>
      <c r="S417" s="13">
        <v>10000</v>
      </c>
      <c r="T417" s="12"/>
      <c r="U417" s="153">
        <v>1</v>
      </c>
      <c r="V417" s="180">
        <f t="shared" si="34"/>
        <v>0</v>
      </c>
    </row>
    <row r="418" spans="1:22" x14ac:dyDescent="0.25">
      <c r="A418" s="17">
        <f t="shared" si="35"/>
        <v>406</v>
      </c>
      <c r="B418" s="17">
        <f t="shared" si="36"/>
        <v>406</v>
      </c>
      <c r="C418" s="62" t="s">
        <v>521</v>
      </c>
      <c r="D418" s="18" t="s">
        <v>469</v>
      </c>
      <c r="E418" s="13">
        <f t="shared" si="37"/>
        <v>791721.63</v>
      </c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>
        <f>780606.31+1115.32</f>
        <v>781721.63</v>
      </c>
      <c r="S418" s="13">
        <v>10000</v>
      </c>
      <c r="T418" s="12"/>
      <c r="U418" s="153">
        <v>1</v>
      </c>
      <c r="V418" s="180">
        <f t="shared" si="34"/>
        <v>0</v>
      </c>
    </row>
    <row r="419" spans="1:22" x14ac:dyDescent="0.25">
      <c r="A419" s="17">
        <f t="shared" si="35"/>
        <v>407</v>
      </c>
      <c r="B419" s="17">
        <f t="shared" si="36"/>
        <v>407</v>
      </c>
      <c r="C419" s="62" t="s">
        <v>521</v>
      </c>
      <c r="D419" s="18" t="s">
        <v>470</v>
      </c>
      <c r="E419" s="13">
        <f t="shared" si="37"/>
        <v>494691.55</v>
      </c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>
        <v>484691.55</v>
      </c>
      <c r="S419" s="13">
        <v>10000</v>
      </c>
      <c r="T419" s="12"/>
      <c r="U419" s="153">
        <v>1</v>
      </c>
      <c r="V419" s="180">
        <f t="shared" si="34"/>
        <v>0</v>
      </c>
    </row>
    <row r="420" spans="1:22" x14ac:dyDescent="0.25">
      <c r="A420" s="17">
        <f t="shared" si="35"/>
        <v>408</v>
      </c>
      <c r="B420" s="17">
        <f t="shared" si="36"/>
        <v>408</v>
      </c>
      <c r="C420" s="62" t="s">
        <v>520</v>
      </c>
      <c r="D420" s="62" t="s">
        <v>602</v>
      </c>
      <c r="E420" s="13">
        <f t="shared" si="37"/>
        <v>6049.96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>
        <v>6049.96</v>
      </c>
      <c r="S420" s="13"/>
      <c r="T420" s="12"/>
      <c r="U420" s="153"/>
      <c r="V420" s="180"/>
    </row>
    <row r="421" spans="1:22" x14ac:dyDescent="0.25">
      <c r="A421" s="17">
        <f t="shared" si="35"/>
        <v>409</v>
      </c>
      <c r="B421" s="17">
        <f t="shared" si="36"/>
        <v>409</v>
      </c>
      <c r="C421" s="62" t="s">
        <v>138</v>
      </c>
      <c r="D421" s="62" t="s">
        <v>605</v>
      </c>
      <c r="E421" s="13">
        <f t="shared" si="37"/>
        <v>80664.51999999999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>
        <v>80664.51999999999</v>
      </c>
      <c r="S421" s="13"/>
      <c r="T421" s="12"/>
      <c r="U421" s="153"/>
      <c r="V421" s="180"/>
    </row>
    <row r="422" spans="1:22" x14ac:dyDescent="0.25">
      <c r="A422" s="17">
        <f t="shared" si="35"/>
        <v>410</v>
      </c>
      <c r="B422" s="17">
        <f t="shared" si="36"/>
        <v>410</v>
      </c>
      <c r="C422" s="62" t="s">
        <v>74</v>
      </c>
      <c r="D422" s="18" t="s">
        <v>584</v>
      </c>
      <c r="E422" s="13">
        <f t="shared" ref="E422:E424" si="38">SUM(F422:T422)</f>
        <v>307550.40000000002</v>
      </c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>
        <v>266006.40000000002</v>
      </c>
      <c r="S422" s="13">
        <v>41544</v>
      </c>
      <c r="T422" s="12"/>
      <c r="U422" s="181">
        <v>1</v>
      </c>
      <c r="V422" s="180">
        <f t="shared" si="34"/>
        <v>0</v>
      </c>
    </row>
    <row r="423" spans="1:22" x14ac:dyDescent="0.25">
      <c r="A423" s="17">
        <f t="shared" si="35"/>
        <v>411</v>
      </c>
      <c r="B423" s="17">
        <f t="shared" si="36"/>
        <v>411</v>
      </c>
      <c r="C423" s="62" t="s">
        <v>539</v>
      </c>
      <c r="D423" s="18" t="s">
        <v>586</v>
      </c>
      <c r="E423" s="13">
        <f t="shared" si="38"/>
        <v>34592.04</v>
      </c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>
        <v>34592.04</v>
      </c>
      <c r="S423" s="13"/>
      <c r="T423" s="12"/>
    </row>
    <row r="424" spans="1:22" x14ac:dyDescent="0.25">
      <c r="A424" s="17">
        <f t="shared" si="35"/>
        <v>412</v>
      </c>
      <c r="B424" s="17">
        <f t="shared" si="36"/>
        <v>412</v>
      </c>
      <c r="C424" s="62" t="s">
        <v>539</v>
      </c>
      <c r="D424" s="18" t="s">
        <v>587</v>
      </c>
      <c r="E424" s="13">
        <f t="shared" si="38"/>
        <v>45408.83</v>
      </c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>
        <v>15408.830000000002</v>
      </c>
      <c r="S424" s="13">
        <v>30000</v>
      </c>
      <c r="T424" s="12"/>
    </row>
  </sheetData>
  <autoFilter ref="A12:W450"/>
  <mergeCells count="16">
    <mergeCell ref="A6:T6"/>
    <mergeCell ref="A8:A11"/>
    <mergeCell ref="B8:B11"/>
    <mergeCell ref="C8:C11"/>
    <mergeCell ref="D8:D11"/>
    <mergeCell ref="E8:E10"/>
    <mergeCell ref="F8:T8"/>
    <mergeCell ref="F9:L9"/>
    <mergeCell ref="M9:M10"/>
    <mergeCell ref="N9:N10"/>
    <mergeCell ref="O9:O10"/>
    <mergeCell ref="P9:P10"/>
    <mergeCell ref="Q9:Q10"/>
    <mergeCell ref="R9:R10"/>
    <mergeCell ref="S9:S10"/>
    <mergeCell ref="T9:T10"/>
  </mergeCells>
  <conditionalFormatting sqref="D280:D281">
    <cfRule type="duplicateValues" dxfId="9" priority="8"/>
  </conditionalFormatting>
  <conditionalFormatting sqref="D357">
    <cfRule type="duplicateValues" dxfId="8" priority="7"/>
  </conditionalFormatting>
  <conditionalFormatting sqref="D209:D210">
    <cfRule type="duplicateValues" dxfId="7" priority="9"/>
  </conditionalFormatting>
  <conditionalFormatting sqref="D383:D384 D364:D366 D222:D223 D62 D195:D200 D368:D373 D226:D229">
    <cfRule type="duplicateValues" dxfId="6" priority="10"/>
  </conditionalFormatting>
  <conditionalFormatting sqref="D176">
    <cfRule type="duplicateValues" dxfId="5" priority="6"/>
  </conditionalFormatting>
  <conditionalFormatting sqref="D180">
    <cfRule type="duplicateValues" dxfId="4" priority="5"/>
  </conditionalFormatting>
  <conditionalFormatting sqref="D152">
    <cfRule type="duplicateValues" dxfId="3" priority="4"/>
  </conditionalFormatting>
  <conditionalFormatting sqref="D399">
    <cfRule type="duplicateValues" dxfId="2" priority="2"/>
  </conditionalFormatting>
  <conditionalFormatting sqref="D420:D421">
    <cfRule type="duplicateValues" dxfId="1" priority="1"/>
  </conditionalFormatting>
  <conditionalFormatting sqref="D220">
    <cfRule type="duplicateValues" dxfId="0" priority="9707"/>
  </conditionalFormatting>
  <pageMargins left="0.70866141732283472" right="0.70866141732283472" top="0.74803149606299213" bottom="0.74803149606299213" header="0.31496062992125984" footer="0.31496062992125984"/>
  <pageSetup paperSize="9" scale="67" fitToHeight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41"/>
  <sheetViews>
    <sheetView workbookViewId="0">
      <selection activeCell="C32" sqref="C32"/>
    </sheetView>
  </sheetViews>
  <sheetFormatPr defaultRowHeight="15" x14ac:dyDescent="0.25"/>
  <cols>
    <col min="3" max="3" width="110.85546875" customWidth="1"/>
  </cols>
  <sheetData>
    <row r="3" spans="3:3" x14ac:dyDescent="0.25">
      <c r="C3" s="1" t="s">
        <v>49</v>
      </c>
    </row>
    <row r="4" spans="3:3" x14ac:dyDescent="0.25">
      <c r="C4" s="1" t="s">
        <v>50</v>
      </c>
    </row>
    <row r="5" spans="3:3" x14ac:dyDescent="0.25">
      <c r="C5" s="1" t="s">
        <v>71</v>
      </c>
    </row>
    <row r="6" spans="3:3" x14ac:dyDescent="0.25">
      <c r="C6" s="1" t="s">
        <v>51</v>
      </c>
    </row>
    <row r="7" spans="3:3" x14ac:dyDescent="0.25">
      <c r="C7" s="1" t="s">
        <v>82</v>
      </c>
    </row>
    <row r="8" spans="3:3" x14ac:dyDescent="0.25">
      <c r="C8" s="1" t="s">
        <v>83</v>
      </c>
    </row>
    <row r="9" spans="3:3" x14ac:dyDescent="0.25">
      <c r="C9" s="1" t="s">
        <v>52</v>
      </c>
    </row>
    <row r="10" spans="3:3" x14ac:dyDescent="0.25">
      <c r="C10" s="1" t="s">
        <v>44</v>
      </c>
    </row>
    <row r="11" spans="3:3" x14ac:dyDescent="0.25">
      <c r="C11" s="1" t="s">
        <v>64</v>
      </c>
    </row>
    <row r="12" spans="3:3" x14ac:dyDescent="0.25">
      <c r="C12" s="1" t="s">
        <v>55</v>
      </c>
    </row>
    <row r="13" spans="3:3" x14ac:dyDescent="0.25">
      <c r="C13" s="1" t="s">
        <v>65</v>
      </c>
    </row>
    <row r="14" spans="3:3" x14ac:dyDescent="0.25">
      <c r="C14" s="1" t="s">
        <v>56</v>
      </c>
    </row>
    <row r="15" spans="3:3" x14ac:dyDescent="0.25">
      <c r="C15" s="1" t="s">
        <v>66</v>
      </c>
    </row>
    <row r="16" spans="3:3" x14ac:dyDescent="0.25">
      <c r="C16" s="1" t="s">
        <v>45</v>
      </c>
    </row>
    <row r="17" spans="3:3" x14ac:dyDescent="0.25">
      <c r="C17" s="1" t="s">
        <v>46</v>
      </c>
    </row>
    <row r="18" spans="3:3" x14ac:dyDescent="0.25">
      <c r="C18" s="1" t="s">
        <v>58</v>
      </c>
    </row>
    <row r="19" spans="3:3" x14ac:dyDescent="0.25">
      <c r="C19" s="1" t="s">
        <v>73</v>
      </c>
    </row>
    <row r="20" spans="3:3" x14ac:dyDescent="0.25">
      <c r="C20" s="1" t="s">
        <v>67</v>
      </c>
    </row>
    <row r="21" spans="3:3" x14ac:dyDescent="0.25">
      <c r="C21" s="1" t="s">
        <v>68</v>
      </c>
    </row>
    <row r="22" spans="3:3" x14ac:dyDescent="0.25">
      <c r="C22" s="1" t="s">
        <v>69</v>
      </c>
    </row>
    <row r="23" spans="3:3" x14ac:dyDescent="0.25">
      <c r="C23" s="1" t="s">
        <v>79</v>
      </c>
    </row>
    <row r="24" spans="3:3" x14ac:dyDescent="0.25">
      <c r="C24" s="1" t="s">
        <v>62</v>
      </c>
    </row>
    <row r="25" spans="3:3" x14ac:dyDescent="0.25">
      <c r="C25" s="1" t="s">
        <v>63</v>
      </c>
    </row>
    <row r="26" spans="3:3" x14ac:dyDescent="0.25">
      <c r="C26" s="1" t="s">
        <v>150</v>
      </c>
    </row>
    <row r="27" spans="3:3" x14ac:dyDescent="0.25">
      <c r="C27" s="1" t="s">
        <v>118</v>
      </c>
    </row>
    <row r="28" spans="3:3" x14ac:dyDescent="0.25">
      <c r="C28" s="1" t="s">
        <v>59</v>
      </c>
    </row>
    <row r="29" spans="3:3" x14ac:dyDescent="0.25">
      <c r="C29" s="1" t="s">
        <v>60</v>
      </c>
    </row>
    <row r="30" spans="3:3" x14ac:dyDescent="0.25">
      <c r="C30" s="1" t="s">
        <v>61</v>
      </c>
    </row>
    <row r="31" spans="3:3" x14ac:dyDescent="0.25">
      <c r="C31" s="1" t="s">
        <v>72</v>
      </c>
    </row>
    <row r="32" spans="3:3" x14ac:dyDescent="0.25">
      <c r="C32" s="1" t="s">
        <v>70</v>
      </c>
    </row>
    <row r="33" spans="3:3" x14ac:dyDescent="0.25">
      <c r="C33" s="1" t="s">
        <v>140</v>
      </c>
    </row>
    <row r="34" spans="3:3" x14ac:dyDescent="0.25">
      <c r="C34" s="1" t="s">
        <v>132</v>
      </c>
    </row>
    <row r="35" spans="3:3" x14ac:dyDescent="0.25">
      <c r="C35" s="1" t="s">
        <v>53</v>
      </c>
    </row>
    <row r="36" spans="3:3" x14ac:dyDescent="0.25">
      <c r="C36" s="1" t="s">
        <v>54</v>
      </c>
    </row>
    <row r="37" spans="3:3" x14ac:dyDescent="0.25">
      <c r="C37" s="1" t="s">
        <v>57</v>
      </c>
    </row>
    <row r="38" spans="3:3" x14ac:dyDescent="0.25">
      <c r="C38" s="1" t="s">
        <v>136</v>
      </c>
    </row>
    <row r="39" spans="3:3" x14ac:dyDescent="0.25">
      <c r="C39" s="1" t="s">
        <v>137</v>
      </c>
    </row>
    <row r="40" spans="3:3" x14ac:dyDescent="0.25">
      <c r="C40" s="1" t="s">
        <v>138</v>
      </c>
    </row>
    <row r="41" spans="3:3" x14ac:dyDescent="0.25">
      <c r="C41" s="1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№1</vt:lpstr>
      <vt:lpstr>Приложение №2</vt:lpstr>
      <vt:lpstr>Приложение №3</vt:lpstr>
      <vt:lpstr>Приложение №4</vt:lpstr>
      <vt:lpstr>Лист1</vt:lpstr>
      <vt:lpstr>'Приложение №1'!Заголовки_для_печати</vt:lpstr>
      <vt:lpstr>'Приложение №2'!Заголовки_для_печати</vt:lpstr>
      <vt:lpstr>'Приложение №1'!Область_печати</vt:lpstr>
      <vt:lpstr>'Приложение №2'!Область_печати</vt:lpstr>
      <vt:lpstr>'Приложение №3'!Область_печати</vt:lpstr>
      <vt:lpstr>'Приложение №4'!Область_печати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424_4</dc:creator>
  <cp:lastModifiedBy>Евстафьева Каролина Валериевна</cp:lastModifiedBy>
  <cp:lastPrinted>2023-05-22T02:05:16Z</cp:lastPrinted>
  <dcterms:created xsi:type="dcterms:W3CDTF">2019-11-06T08:51:16Z</dcterms:created>
  <dcterms:modified xsi:type="dcterms:W3CDTF">2023-08-07T03:22:42Z</dcterms:modified>
</cp:coreProperties>
</file>